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5255" tabRatio="5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witek</author>
    <author>witek ww</author>
  </authors>
  <commentList>
    <comment ref="I2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dystrybucja</t>
        </r>
      </text>
    </comment>
    <comment ref="I7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dystrybucja</t>
        </r>
      </text>
    </comment>
    <comment ref="I10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dystrybucja</t>
        </r>
      </text>
    </comment>
    <comment ref="F22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2,9 brutto z 1.10.2010 r
2,95 brutto z 1.12.2010r
3,11 brutto z 17.01.2011r
3,27 brutto z 20.07.2011r</t>
        </r>
      </text>
    </comment>
    <comment ref="C34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200 = ilość dni grzewczych</t>
        </r>
      </text>
    </comment>
    <comment ref="D57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temp :  rano   -4 wiecz -1
dom - 22,2</t>
        </r>
      </text>
    </comment>
    <comment ref="D58" authorId="0">
      <text>
        <r>
          <rPr>
            <b/>
            <sz val="8"/>
            <rFont val="Tahoma"/>
            <family val="2"/>
          </rPr>
          <t>witek: od 15:30  zmiana licznika - dwutaryfowy</t>
        </r>
        <r>
          <rPr>
            <sz val="8"/>
            <rFont val="Tahoma"/>
            <family val="2"/>
          </rPr>
          <t xml:space="preserve">
przez ostatni okres temp
n0c - 5st
dzien - do 16
w domu 22,2</t>
        </r>
      </text>
    </comment>
    <comment ref="D62" authorId="0">
      <text>
        <r>
          <rPr>
            <b/>
            <sz val="8"/>
            <rFont val="Tahoma"/>
            <family val="2"/>
          </rPr>
          <t>witek: od 15:30  zmiana licznika - dwutaryfowy</t>
        </r>
        <r>
          <rPr>
            <sz val="8"/>
            <rFont val="Tahoma"/>
            <family val="2"/>
          </rPr>
          <t xml:space="preserve">
przez ostatni okres temp
noc + 5st
dzien - do 16
w domu 22,2</t>
        </r>
      </text>
    </comment>
    <comment ref="D75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dzien   -  -1  do 5 st
noc    -3   </t>
        </r>
      </text>
    </comment>
    <comment ref="R75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od 25-11-2010
tylko bojler</t>
        </r>
      </text>
    </comment>
    <comment ref="D77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dien     -2
noc     - 4</t>
        </r>
      </text>
    </comment>
    <comment ref="D80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dzien - 4
noc    - 8</t>
        </r>
      </text>
    </comment>
    <comment ref="D81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dzien  = - 10
noc =   -  13
</t>
        </r>
      </text>
    </comment>
    <comment ref="D82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dzien = -4
noc   = -8
</t>
        </r>
      </text>
    </comment>
    <comment ref="D83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dzień = -8
noc =  - 18 do - 20
</t>
        </r>
      </text>
    </comment>
    <comment ref="N85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m-c  listopad
</t>
        </r>
      </text>
    </comment>
    <comment ref="R85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tylko 2-ga taryfa</t>
        </r>
      </text>
    </comment>
    <comment ref="D86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dzien = 2
noc   = - 1</t>
        </r>
      </text>
    </comment>
    <comment ref="R86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tylko 2-ga tar
+ 19:19.30</t>
        </r>
      </text>
    </comment>
    <comment ref="D87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dzien = 2
noc   = 0,2
</t>
        </r>
      </text>
    </comment>
    <comment ref="D88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dzien = -1 do 1
noc    = - 2</t>
        </r>
      </text>
    </comment>
    <comment ref="D89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dzień =  -2
noc =    -5</t>
        </r>
      </text>
    </comment>
    <comment ref="D90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dzień = - 3 do +5
noc    = -  2
</t>
        </r>
      </text>
    </comment>
    <comment ref="D91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dzien  = -4
noc    = -2</t>
        </r>
      </text>
    </comment>
    <comment ref="D92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cały czas = -6
</t>
        </r>
      </text>
    </comment>
    <comment ref="D94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dzień = -8
noc    = -16</t>
        </r>
      </text>
    </comment>
    <comment ref="D95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dzień = -16
noc   =  - 23</t>
        </r>
      </text>
    </comment>
    <comment ref="D96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=  -18
dzien = -8
</t>
        </r>
      </text>
    </comment>
    <comment ref="D97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-16
dzień = - 4
</t>
        </r>
      </text>
    </comment>
    <comment ref="D99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-2
dzien = +1</t>
        </r>
      </text>
    </comment>
    <comment ref="D100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 = -4
dzien  = +1,4
</t>
        </r>
      </text>
    </comment>
    <comment ref="D102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-4
dzien = +0,5
</t>
        </r>
      </text>
    </comment>
    <comment ref="D103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-13
dzien = -5
</t>
        </r>
      </text>
    </comment>
    <comment ref="D104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-17
dzień  = -8</t>
        </r>
      </text>
    </comment>
    <comment ref="D105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-11
dz-en = -9
</t>
        </r>
      </text>
    </comment>
    <comment ref="D106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-8
dzień = -8 do - 12</t>
        </r>
      </text>
    </comment>
    <comment ref="D107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-7
dzien = -3
</t>
        </r>
      </text>
    </comment>
    <comment ref="D108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-3
dzien = 0,5
w nocy wyłączono prąd
pompa pracowała tylko na grzałkach do 10 rano</t>
        </r>
      </text>
    </comment>
    <comment ref="D110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-3,5
dzien = -1,5
</t>
        </r>
      </text>
    </comment>
    <comment ref="D111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=-5
dzień = +1 do -10
bez pradu 3 godz</t>
        </r>
      </text>
    </comment>
    <comment ref="D112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= -14
dzien = -1 do -14</t>
        </r>
      </text>
    </comment>
    <comment ref="D113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-19,5
dzien = -14  do + 3</t>
        </r>
      </text>
    </comment>
    <comment ref="D114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+3 
dzien = +5</t>
        </r>
      </text>
    </comment>
    <comment ref="D115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=-0,3
dzien = +1,5
</t>
        </r>
      </text>
    </comment>
    <comment ref="D116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+0,7
dzien = +1,8
zmiana ilości godzin 
więcej temp 22 dobowo</t>
        </r>
      </text>
    </comment>
    <comment ref="D118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+2
dzien = +4</t>
        </r>
      </text>
    </comment>
    <comment ref="D119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+4
dzien = +8</t>
        </r>
      </text>
    </comment>
    <comment ref="D120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+8
dzien = +5,5
</t>
        </r>
      </text>
    </comment>
    <comment ref="P120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góra nawet + 25
</t>
        </r>
      </text>
    </comment>
    <comment ref="D121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+0
dzien = +2
</t>
        </r>
      </text>
    </comment>
    <comment ref="D122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-5
dzien = 5
</t>
        </r>
      </text>
    </comment>
    <comment ref="D125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-1,2
dzien = -1,5</t>
        </r>
      </text>
    </comment>
    <comment ref="D126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-3
dzien = -1,5
</t>
        </r>
      </text>
    </comment>
    <comment ref="D127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=-3
dzien =-1,6</t>
        </r>
      </text>
    </comment>
    <comment ref="D128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-4
dzien = -4,2
</t>
        </r>
      </text>
    </comment>
    <comment ref="D129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-12
dzien = - 1
</t>
        </r>
      </text>
    </comment>
    <comment ref="D130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= -3
dzien = -1</t>
        </r>
      </text>
    </comment>
    <comment ref="D131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-0,8
dzien = +1 do -6</t>
        </r>
      </text>
    </comment>
    <comment ref="D132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-7
dzien = -4</t>
        </r>
      </text>
    </comment>
    <comment ref="D133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= -12
dzien = -7
</t>
        </r>
      </text>
    </comment>
    <comment ref="D134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-11
dzien = - 7
przegląd 
- do 1-dodano 0,4 kg R410 ( jest 4,4 kg)
-      2- nie ruszano</t>
        </r>
      </text>
    </comment>
    <comment ref="D135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= -14
dzien = - 7</t>
        </r>
      </text>
    </comment>
    <comment ref="D136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-10
dzien = - 5
</t>
        </r>
      </text>
    </comment>
    <comment ref="D138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-2 
dzien = +3
</t>
        </r>
      </text>
    </comment>
    <comment ref="D139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+3
dzien = +8
</t>
        </r>
      </text>
    </comment>
    <comment ref="D140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3
dzien = 8
</t>
        </r>
      </text>
    </comment>
    <comment ref="D143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-6
dzien = +2
</t>
        </r>
      </text>
    </comment>
    <comment ref="D144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-2
dzien = +5</t>
        </r>
      </text>
    </comment>
    <comment ref="D145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</t>
        </r>
      </text>
    </comment>
    <comment ref="D148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-1
dzien =0,0</t>
        </r>
      </text>
    </comment>
    <comment ref="D150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noc=    -9
dzien =-9
</t>
        </r>
      </text>
    </comment>
    <comment ref="D151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-12
dzien = -8</t>
        </r>
      </text>
    </comment>
    <comment ref="D152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-11
dzien = -9</t>
        </r>
      </text>
    </comment>
    <comment ref="D171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noc    = -1,6
dzien = + 16
</t>
        </r>
      </text>
    </comment>
    <comment ref="R178" authorId="0">
      <text>
        <r>
          <rPr>
            <b/>
            <sz val="8"/>
            <rFont val="Tahoma"/>
            <family val="2"/>
          </rPr>
          <t>witek:</t>
        </r>
        <r>
          <rPr>
            <sz val="8"/>
            <rFont val="Tahoma"/>
            <family val="2"/>
          </rPr>
          <t xml:space="preserve">
słoneczne dni</t>
        </r>
      </text>
    </comment>
    <comment ref="P181" authorId="1">
      <text>
        <r>
          <rPr>
            <b/>
            <sz val="9"/>
            <rFont val="Arial CE"/>
            <family val="0"/>
          </rPr>
          <t>witek ww:  teraz</t>
        </r>
        <r>
          <rPr>
            <sz val="9"/>
            <rFont val="Arial CE"/>
            <family val="0"/>
          </rPr>
          <t xml:space="preserve">
tylko podłogowe</t>
        </r>
      </text>
    </comment>
    <comment ref="P185" authorId="1">
      <text>
        <r>
          <rPr>
            <b/>
            <sz val="9"/>
            <rFont val="Arial CE"/>
            <family val="0"/>
          </rPr>
          <t>witek ww:</t>
        </r>
        <r>
          <rPr>
            <sz val="9"/>
            <rFont val="Arial CE"/>
            <family val="0"/>
          </rPr>
          <t xml:space="preserve">
wyłączono podłogowe
</t>
        </r>
      </text>
    </comment>
    <comment ref="M203" authorId="1">
      <text>
        <r>
          <rPr>
            <b/>
            <sz val="9"/>
            <rFont val="Arial CE"/>
            <family val="0"/>
          </rPr>
          <t>witek ww:</t>
        </r>
        <r>
          <rPr>
            <sz val="9"/>
            <rFont val="Arial CE"/>
            <family val="0"/>
          </rPr>
          <t xml:space="preserve">
tylko cw</t>
        </r>
      </text>
    </comment>
    <comment ref="O61" authorId="1">
      <text>
        <r>
          <rPr>
            <b/>
            <sz val="9"/>
            <rFont val="Calibri"/>
            <family val="2"/>
          </rPr>
          <t>witek ww:</t>
        </r>
        <r>
          <rPr>
            <sz val="9"/>
            <rFont val="Calibri"/>
            <family val="2"/>
          </rPr>
          <t xml:space="preserve">
sprawdzenie kosztów
dla tylko I taryfy</t>
        </r>
      </text>
    </comment>
  </commentList>
</comments>
</file>

<file path=xl/sharedStrings.xml><?xml version="1.0" encoding="utf-8"?>
<sst xmlns="http://schemas.openxmlformats.org/spreadsheetml/2006/main" count="203" uniqueCount="115">
  <si>
    <r>
      <t>G12__dzień</t>
    </r>
    <r>
      <rPr>
        <sz val="9"/>
        <rFont val="Arial CE"/>
        <family val="0"/>
      </rPr>
      <t xml:space="preserve"> - od godz. 6.00 do godz. 13.00 oraz od godz. 15.00 do godz. 22.00,</t>
    </r>
  </si>
  <si>
    <t>zł/kWh</t>
  </si>
  <si>
    <t>dzień/godzin</t>
  </si>
  <si>
    <r>
      <t xml:space="preserve">G12__noc   </t>
    </r>
    <r>
      <rPr>
        <sz val="9"/>
        <rFont val="Arial CE"/>
        <family val="0"/>
      </rPr>
      <t xml:space="preserve"> - od godz.</t>
    </r>
    <r>
      <rPr>
        <sz val="9"/>
        <color indexed="10"/>
        <rFont val="Arial CE"/>
        <family val="0"/>
      </rPr>
      <t xml:space="preserve"> 22.00</t>
    </r>
    <r>
      <rPr>
        <sz val="9"/>
        <rFont val="Arial CE"/>
        <family val="0"/>
      </rPr>
      <t xml:space="preserve"> do godz. </t>
    </r>
    <r>
      <rPr>
        <sz val="9"/>
        <color indexed="10"/>
        <rFont val="Arial CE"/>
        <family val="0"/>
      </rPr>
      <t>6.00</t>
    </r>
    <r>
      <rPr>
        <sz val="9"/>
        <rFont val="Arial CE"/>
        <family val="0"/>
      </rPr>
      <t xml:space="preserve"> oraz od godz. </t>
    </r>
    <r>
      <rPr>
        <sz val="9"/>
        <color indexed="10"/>
        <rFont val="Arial CE"/>
        <family val="0"/>
      </rPr>
      <t>13.00</t>
    </r>
    <r>
      <rPr>
        <sz val="9"/>
        <rFont val="Arial CE"/>
        <family val="0"/>
      </rPr>
      <t xml:space="preserve"> do godz. </t>
    </r>
    <r>
      <rPr>
        <sz val="9"/>
        <color indexed="10"/>
        <rFont val="Arial CE"/>
        <family val="0"/>
      </rPr>
      <t>15.00.</t>
    </r>
  </si>
  <si>
    <t>noc/godzin</t>
  </si>
  <si>
    <t>średnia</t>
  </si>
  <si>
    <t>G11e__</t>
  </si>
  <si>
    <t>całodobowa</t>
  </si>
  <si>
    <t>od    1.01.2011r</t>
  </si>
  <si>
    <t>G12e</t>
  </si>
  <si>
    <t>zmiana taryfy</t>
  </si>
  <si>
    <t>od    3.06.2011r</t>
  </si>
  <si>
    <t>1 kg oleju</t>
  </si>
  <si>
    <t>kcal</t>
  </si>
  <si>
    <t>1 l oleju</t>
  </si>
  <si>
    <t>Kcal</t>
  </si>
  <si>
    <t>gaz</t>
  </si>
  <si>
    <t>1 kWh</t>
  </si>
  <si>
    <t>energia</t>
  </si>
  <si>
    <t>mieszkanie</t>
  </si>
  <si>
    <t>śr/m-c</t>
  </si>
  <si>
    <t>zł/l</t>
  </si>
  <si>
    <t>ropa</t>
  </si>
  <si>
    <t>suma</t>
  </si>
  <si>
    <t>faktyczne</t>
  </si>
  <si>
    <t xml:space="preserve">zużycie l / oleju </t>
  </si>
  <si>
    <t>PLN/rok</t>
  </si>
  <si>
    <t>PLN/m-c</t>
  </si>
  <si>
    <t>lub</t>
  </si>
  <si>
    <t>kWh</t>
  </si>
  <si>
    <t>kW / dzień</t>
  </si>
  <si>
    <t>kW/h</t>
  </si>
  <si>
    <t>olej   l/24h</t>
  </si>
  <si>
    <t>l/h</t>
  </si>
  <si>
    <t>kcal/h</t>
  </si>
  <si>
    <r>
      <t>pow {m</t>
    </r>
    <r>
      <rPr>
        <vertAlign val="superscript"/>
        <sz val="9"/>
        <rFont val="Arial CE"/>
        <family val="0"/>
      </rPr>
      <t>2</t>
    </r>
    <r>
      <rPr>
        <sz val="9"/>
        <rFont val="Arial CE"/>
        <family val="0"/>
      </rPr>
      <t>}</t>
    </r>
  </si>
  <si>
    <r>
      <t>W/m</t>
    </r>
    <r>
      <rPr>
        <vertAlign val="superscript"/>
        <sz val="9"/>
        <rFont val="Arial CE"/>
        <family val="0"/>
      </rPr>
      <t>2</t>
    </r>
  </si>
  <si>
    <r>
      <t>przy -2</t>
    </r>
    <r>
      <rPr>
        <sz val="9"/>
        <rFont val="Arial"/>
        <family val="2"/>
      </rPr>
      <t>°</t>
    </r>
    <r>
      <rPr>
        <sz val="9"/>
        <rFont val="Arial CE"/>
        <family val="0"/>
      </rPr>
      <t>C</t>
    </r>
  </si>
  <si>
    <r>
      <t>przy -6</t>
    </r>
    <r>
      <rPr>
        <sz val="9"/>
        <rFont val="Arial"/>
        <family val="2"/>
      </rPr>
      <t>°</t>
    </r>
    <r>
      <rPr>
        <sz val="9"/>
        <rFont val="Arial CE"/>
        <family val="0"/>
      </rPr>
      <t>C</t>
    </r>
  </si>
  <si>
    <r>
      <t>przy -13</t>
    </r>
    <r>
      <rPr>
        <sz val="9"/>
        <rFont val="Arial"/>
        <family val="2"/>
      </rPr>
      <t>°</t>
    </r>
    <r>
      <rPr>
        <sz val="9"/>
        <rFont val="Arial CE"/>
        <family val="0"/>
      </rPr>
      <t>C</t>
    </r>
  </si>
  <si>
    <t>Pompa ciepła     rozliczenia</t>
  </si>
  <si>
    <t>data</t>
  </si>
  <si>
    <t>czas zał</t>
  </si>
  <si>
    <t>odczyt</t>
  </si>
  <si>
    <t>ilość     godzin</t>
  </si>
  <si>
    <t>kWh/godz   średnia</t>
  </si>
  <si>
    <t>kWh / 24 h   średnia</t>
  </si>
  <si>
    <t>średnia - ostatni okres</t>
  </si>
  <si>
    <t>W/m2</t>
  </si>
  <si>
    <t>PLN / godz</t>
  </si>
  <si>
    <t>kWh / 24h   ostatnio</t>
  </si>
  <si>
    <t>koszt           I i II          G12</t>
  </si>
  <si>
    <t>koszt / m-c</t>
  </si>
  <si>
    <t xml:space="preserve">uruchomiono  w dniu 28_09_2010 </t>
  </si>
  <si>
    <t>odczyty  z licznika 1- taryfowego</t>
  </si>
  <si>
    <t>dnia  koniec</t>
  </si>
  <si>
    <t>zużycie      taryfa           I</t>
  </si>
  <si>
    <t>zużycie      taryfa           II</t>
  </si>
  <si>
    <t>zużycie    łączne          kWh</t>
  </si>
  <si>
    <t>ostatnio       W/m2</t>
  </si>
  <si>
    <t>%  II  taryfy</t>
  </si>
  <si>
    <t>koszt         G11e</t>
  </si>
  <si>
    <t>tmp          w domu</t>
  </si>
  <si>
    <t>licznik odczyt</t>
  </si>
  <si>
    <t>woda ciepła   bojler kWh</t>
  </si>
  <si>
    <t>taki mam</t>
  </si>
  <si>
    <t>sprawdzenie</t>
  </si>
  <si>
    <t>odczyty  z licznika 2- taryfowego</t>
  </si>
  <si>
    <t>21,3 - 21,9</t>
  </si>
  <si>
    <t>21,1 - 21,8</t>
  </si>
  <si>
    <t>wzrost ceny</t>
  </si>
  <si>
    <t>przegląd</t>
  </si>
  <si>
    <t>koniec sezonu</t>
  </si>
  <si>
    <t>za 1 rok 2010/11</t>
  </si>
  <si>
    <t>odczyt energii - zapł</t>
  </si>
  <si>
    <t>aktualnie</t>
  </si>
  <si>
    <t>koszty w byłym mieszkaniu  - 63 m2</t>
  </si>
  <si>
    <t>G12</t>
  </si>
  <si>
    <t>koszt</t>
  </si>
  <si>
    <t>Pompa ciepła rozliczenia 2011/2012</t>
  </si>
  <si>
    <t>śr tmp  w domu</t>
  </si>
  <si>
    <t xml:space="preserve">średnia z ostatniego okresu    kWh / 24h   </t>
  </si>
  <si>
    <t xml:space="preserve">średnia dla całości     kWh /24 h  </t>
  </si>
  <si>
    <t>Pompa ciepła     rozliczenia  2010/2011</t>
  </si>
  <si>
    <t>bojler      licznik odczyt</t>
  </si>
  <si>
    <t>koszty PC + CW</t>
  </si>
  <si>
    <t>całość energii - PC + reszta(ośw ,gniazdka)</t>
  </si>
  <si>
    <t>za energię el</t>
  </si>
  <si>
    <t>za olej opałowy</t>
  </si>
  <si>
    <t>oszczędność</t>
  </si>
  <si>
    <t>w stosunku do lat poprzednich zwiekszyłem temp pomieszczeń o 0,3 do 0,6 st - do 22 st nastawa</t>
  </si>
  <si>
    <t>mam zamontowane solary  4 x po 30 rur  ( całkowity koszt - ok 22.000,- )</t>
  </si>
  <si>
    <t>( nastawa 21,5 st to dla nas trochę za mało ) mimo to efekt finansowy b.dobry</t>
  </si>
  <si>
    <t xml:space="preserve">      ( solary nie na dachu a w ogrodzie 35 mb od domu super izolacja ,straty na przesyle to tylko 4 st -opomiarowane)</t>
  </si>
  <si>
    <t xml:space="preserve">z danych wyżej można prześledzić że efekt w najlepsze dni pełnego słońca to tylko max 18 kWh  </t>
  </si>
  <si>
    <t>22000 /5,6 = 3928,6 dni  / 365 dni w roku = 10,8 lat odzyskiwania inwestycji ---- bez komentarza</t>
  </si>
  <si>
    <r>
      <t xml:space="preserve">te 18 kWh w drugiej taryfie ( a tylko taką zasilam bojler 400 litrów) to 5,6 PLN/dobę   </t>
    </r>
    <r>
      <rPr>
        <u val="single"/>
        <sz val="12"/>
        <color indexed="10"/>
        <rFont val="Arial CE"/>
        <family val="0"/>
      </rPr>
      <t>m a k s y m  a l n i e</t>
    </r>
  </si>
  <si>
    <t>zastosowałem PC powietrzną 2 x 16 kW  zainstalowaną w ogrodzie ok 35 mb od domu</t>
  </si>
  <si>
    <t xml:space="preserve">UWAGI  --- </t>
  </si>
  <si>
    <t xml:space="preserve">stosowałem obniżenie temp w godz 22 do 04 o 1 st i od 10  do 13 też o 1 st  przy większej różnicy np. 2 st powrót do temp nastawionej znacznie dłuższy </t>
  </si>
  <si>
    <t xml:space="preserve">średnia z ostatniego okresu    kWh / h   </t>
  </si>
  <si>
    <t>stary stan licznika</t>
  </si>
  <si>
    <t>7H /błąd</t>
  </si>
  <si>
    <t>zakup PC okazał się jak najbardziej celowy - i to PC powietrznych , mimo iż temp spadała do - 16 do -24 st a było takich dni w tym sezonie dużo</t>
  </si>
  <si>
    <t>18kWh to różnica między 100% grzania wody energią el a zużyciem energi przy dogrzewaniu solarami</t>
  </si>
  <si>
    <t>jak widać z zaprezentowanych  danych zmniejszyłem o połowę koszty ogrzewania</t>
  </si>
  <si>
    <t>vattenfall    =</t>
  </si>
  <si>
    <t>dom     -      poroterm 44cm bez ocieplenia / dach karpiówka ocieplenie 25 cm wełny</t>
  </si>
  <si>
    <t xml:space="preserve">                  powierzchnia  600 m2 / ogrzewane 550m2  / zużycie dobowe wody , w tym 85% ciepłej = 650 litrów    -- 6 osób</t>
  </si>
  <si>
    <t>rocznie razem</t>
  </si>
  <si>
    <t>poprzednie lata          - ogrzewabie + ciepła woda</t>
  </si>
  <si>
    <t xml:space="preserve">temp zasilania CO- grzejniki      38st     </t>
  </si>
  <si>
    <t xml:space="preserve">temp zasilania CO- podłogowe   25st     </t>
  </si>
  <si>
    <t xml:space="preserve">temp zasilania bufora               42 st     </t>
  </si>
  <si>
    <t>pompy pracowały bezawaryjnie ,a układ CO mam bardzo rozbudowany ( kocioł olejowy + solary + PC 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</si>
</sst>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d/m/yyyy;@"/>
    <numFmt numFmtId="167" formatCode="h:mm;@"/>
    <numFmt numFmtId="168" formatCode="#,##0.0"/>
    <numFmt numFmtId="169" formatCode="dd\ mm\ yy"/>
    <numFmt numFmtId="170" formatCode="dd/mm/yyyy"/>
    <numFmt numFmtId="171" formatCode="0.0%"/>
    <numFmt numFmtId="172" formatCode="0.0"/>
    <numFmt numFmtId="173" formatCode="#,##0.0\ _z_ł"/>
  </numFmts>
  <fonts count="39">
    <font>
      <sz val="12"/>
      <color indexed="8"/>
      <name val="Calibri"/>
      <family val="2"/>
    </font>
    <font>
      <sz val="9"/>
      <name val="Arial CE"/>
      <family val="0"/>
    </font>
    <font>
      <b/>
      <sz val="9"/>
      <name val="Arial CE"/>
      <family val="0"/>
    </font>
    <font>
      <sz val="9"/>
      <color indexed="10"/>
      <name val="Arial CE"/>
      <family val="0"/>
    </font>
    <font>
      <vertAlign val="superscript"/>
      <sz val="9"/>
      <name val="Arial CE"/>
      <family val="0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9"/>
      <name val="Arial CE"/>
      <family val="0"/>
    </font>
    <font>
      <u val="single"/>
      <sz val="9"/>
      <name val="Arial CE"/>
      <family val="0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Arial CE"/>
      <family val="0"/>
    </font>
    <font>
      <sz val="12"/>
      <name val="Arial CE"/>
      <family val="0"/>
    </font>
    <font>
      <u val="single"/>
      <sz val="12"/>
      <color indexed="10"/>
      <name val="Arial CE"/>
      <family val="0"/>
    </font>
    <font>
      <b/>
      <sz val="14"/>
      <name val="Arial CE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10"/>
      <name val="Arial CE"/>
      <family val="0"/>
    </font>
    <font>
      <b/>
      <u val="single"/>
      <sz val="11"/>
      <color indexed="10"/>
      <name val="Arial CE"/>
      <family val="0"/>
    </font>
    <font>
      <sz val="11"/>
      <color indexed="10"/>
      <name val="Arial CE"/>
      <family val="0"/>
    </font>
    <font>
      <sz val="12"/>
      <color indexed="10"/>
      <name val="Arial CE"/>
      <family val="0"/>
    </font>
    <font>
      <sz val="14"/>
      <color indexed="8"/>
      <name val="Calibri"/>
      <family val="2"/>
    </font>
    <font>
      <b/>
      <sz val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16" borderId="0" applyNumberFormat="0" applyBorder="0" applyAlignment="0" applyProtection="0"/>
    <xf numFmtId="0" fontId="19" fillId="11" borderId="1" applyNumberFormat="0" applyAlignment="0" applyProtection="0"/>
    <xf numFmtId="0" fontId="2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19" borderId="0" applyNumberFormat="0" applyBorder="0" applyAlignment="0" applyProtection="0"/>
    <xf numFmtId="0" fontId="0" fillId="20" borderId="7" applyNumberFormat="0" applyFont="0" applyAlignment="0" applyProtection="0"/>
    <xf numFmtId="0" fontId="29" fillId="11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5" borderId="0" xfId="0" applyFont="1" applyFill="1" applyAlignment="1">
      <alignment/>
    </xf>
    <xf numFmtId="0" fontId="3" fillId="5" borderId="0" xfId="0" applyFont="1" applyFill="1" applyAlignment="1">
      <alignment/>
    </xf>
    <xf numFmtId="165" fontId="3" fillId="5" borderId="0" xfId="0" applyNumberFormat="1" applyFont="1" applyFill="1" applyAlignment="1">
      <alignment/>
    </xf>
    <xf numFmtId="165" fontId="33" fillId="5" borderId="10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0" fontId="3" fillId="5" borderId="0" xfId="0" applyFont="1" applyFill="1" applyAlignment="1">
      <alignment/>
    </xf>
    <xf numFmtId="165" fontId="33" fillId="5" borderId="12" xfId="0" applyNumberFormat="1" applyFont="1" applyFill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33" fillId="21" borderId="14" xfId="0" applyNumberFormat="1" applyFont="1" applyFill="1" applyBorder="1" applyAlignment="1">
      <alignment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/>
    </xf>
    <xf numFmtId="164" fontId="33" fillId="21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5" fontId="33" fillId="0" borderId="0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5" fontId="1" fillId="5" borderId="0" xfId="0" applyNumberFormat="1" applyFont="1" applyFill="1" applyAlignment="1">
      <alignment/>
    </xf>
    <xf numFmtId="0" fontId="2" fillId="5" borderId="0" xfId="0" applyFont="1" applyFill="1" applyAlignment="1">
      <alignment horizontal="center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20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20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21" borderId="24" xfId="0" applyFont="1" applyFill="1" applyBorder="1" applyAlignment="1">
      <alignment/>
    </xf>
    <xf numFmtId="0" fontId="1" fillId="21" borderId="25" xfId="0" applyFont="1" applyFill="1" applyBorder="1" applyAlignment="1">
      <alignment/>
    </xf>
    <xf numFmtId="0" fontId="33" fillId="21" borderId="26" xfId="0" applyFont="1" applyFill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19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21" borderId="15" xfId="0" applyNumberFormat="1" applyFont="1" applyFill="1" applyBorder="1" applyAlignment="1">
      <alignment/>
    </xf>
    <xf numFmtId="4" fontId="1" fillId="5" borderId="22" xfId="0" applyNumberFormat="1" applyFont="1" applyFill="1" applyBorder="1" applyAlignment="1">
      <alignment horizontal="center"/>
    </xf>
    <xf numFmtId="4" fontId="1" fillId="5" borderId="22" xfId="0" applyNumberFormat="1" applyFont="1" applyFill="1" applyBorder="1" applyAlignment="1">
      <alignment/>
    </xf>
    <xf numFmtId="4" fontId="1" fillId="5" borderId="23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4" fontId="2" fillId="5" borderId="22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1" fillId="21" borderId="0" xfId="0" applyFont="1" applyFill="1" applyAlignment="1">
      <alignment horizontal="center" vertical="center"/>
    </xf>
    <xf numFmtId="0" fontId="1" fillId="21" borderId="0" xfId="0" applyFont="1" applyFill="1" applyAlignment="1">
      <alignment horizontal="center" vertical="center" wrapText="1"/>
    </xf>
    <xf numFmtId="0" fontId="1" fillId="21" borderId="0" xfId="0" applyFont="1" applyFill="1" applyAlignment="1">
      <alignment horizontal="center" wrapText="1"/>
    </xf>
    <xf numFmtId="164" fontId="1" fillId="21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5" fontId="1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8" fontId="1" fillId="4" borderId="0" xfId="0" applyNumberFormat="1" applyFont="1" applyFill="1" applyAlignment="1">
      <alignment/>
    </xf>
    <xf numFmtId="168" fontId="1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4" fontId="1" fillId="4" borderId="0" xfId="0" applyNumberFormat="1" applyFont="1" applyFill="1" applyAlignment="1">
      <alignment/>
    </xf>
    <xf numFmtId="169" fontId="1" fillId="0" borderId="0" xfId="0" applyNumberFormat="1" applyFont="1" applyAlignment="1">
      <alignment/>
    </xf>
    <xf numFmtId="4" fontId="3" fillId="4" borderId="0" xfId="0" applyNumberFormat="1" applyFont="1" applyFill="1" applyAlignment="1">
      <alignment/>
    </xf>
    <xf numFmtId="4" fontId="1" fillId="21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168" fontId="1" fillId="0" borderId="0" xfId="0" applyNumberFormat="1" applyFont="1" applyFill="1" applyAlignment="1">
      <alignment/>
    </xf>
    <xf numFmtId="170" fontId="1" fillId="21" borderId="0" xfId="0" applyNumberFormat="1" applyFont="1" applyFill="1" applyAlignment="1">
      <alignment/>
    </xf>
    <xf numFmtId="20" fontId="3" fillId="4" borderId="0" xfId="0" applyNumberFormat="1" applyFont="1" applyFill="1" applyAlignment="1">
      <alignment/>
    </xf>
    <xf numFmtId="168" fontId="1" fillId="3" borderId="0" xfId="0" applyNumberFormat="1" applyFont="1" applyFill="1" applyAlignment="1">
      <alignment/>
    </xf>
    <xf numFmtId="170" fontId="1" fillId="0" borderId="0" xfId="0" applyNumberFormat="1" applyFont="1" applyAlignment="1">
      <alignment/>
    </xf>
    <xf numFmtId="168" fontId="3" fillId="4" borderId="0" xfId="0" applyNumberFormat="1" applyFont="1" applyFill="1" applyAlignment="1">
      <alignment/>
    </xf>
    <xf numFmtId="168" fontId="3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8" borderId="0" xfId="0" applyFont="1" applyFill="1" applyAlignment="1">
      <alignment/>
    </xf>
    <xf numFmtId="0" fontId="3" fillId="21" borderId="0" xfId="0" applyFont="1" applyFill="1" applyAlignment="1">
      <alignment/>
    </xf>
    <xf numFmtId="0" fontId="1" fillId="21" borderId="0" xfId="0" applyFont="1" applyFill="1" applyAlignment="1">
      <alignment/>
    </xf>
    <xf numFmtId="168" fontId="1" fillId="21" borderId="0" xfId="0" applyNumberFormat="1" applyFont="1" applyFill="1" applyAlignment="1">
      <alignment/>
    </xf>
    <xf numFmtId="168" fontId="1" fillId="2" borderId="0" xfId="0" applyNumberFormat="1" applyFont="1" applyFill="1" applyAlignment="1">
      <alignment/>
    </xf>
    <xf numFmtId="4" fontId="3" fillId="21" borderId="0" xfId="0" applyNumberFormat="1" applyFont="1" applyFill="1" applyAlignment="1">
      <alignment/>
    </xf>
    <xf numFmtId="170" fontId="1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1" fillId="0" borderId="0" xfId="0" applyFont="1" applyAlignment="1">
      <alignment horizontal="center"/>
    </xf>
    <xf numFmtId="170" fontId="33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172" fontId="1" fillId="8" borderId="0" xfId="0" applyNumberFormat="1" applyFont="1" applyFill="1" applyAlignment="1">
      <alignment/>
    </xf>
    <xf numFmtId="170" fontId="1" fillId="4" borderId="0" xfId="0" applyNumberFormat="1" applyFont="1" applyFill="1" applyAlignment="1">
      <alignment/>
    </xf>
    <xf numFmtId="171" fontId="1" fillId="4" borderId="0" xfId="0" applyNumberFormat="1" applyFont="1" applyFill="1" applyAlignment="1">
      <alignment/>
    </xf>
    <xf numFmtId="4" fontId="33" fillId="4" borderId="0" xfId="0" applyNumberFormat="1" applyFont="1" applyFill="1" applyAlignment="1">
      <alignment/>
    </xf>
    <xf numFmtId="0" fontId="33" fillId="4" borderId="0" xfId="0" applyFont="1" applyFill="1" applyAlignment="1">
      <alignment/>
    </xf>
    <xf numFmtId="0" fontId="8" fillId="5" borderId="0" xfId="0" applyFont="1" applyFill="1" applyAlignment="1">
      <alignment/>
    </xf>
    <xf numFmtId="166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2" borderId="0" xfId="0" applyFont="1" applyFill="1" applyAlignment="1">
      <alignment horizontal="left" indent="1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165" fontId="3" fillId="2" borderId="0" xfId="0" applyNumberFormat="1" applyFont="1" applyFill="1" applyAlignment="1">
      <alignment/>
    </xf>
    <xf numFmtId="165" fontId="33" fillId="2" borderId="1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65" fontId="33" fillId="2" borderId="12" xfId="0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165" fontId="33" fillId="2" borderId="27" xfId="0" applyNumberFormat="1" applyFont="1" applyFill="1" applyBorder="1" applyAlignment="1">
      <alignment/>
    </xf>
    <xf numFmtId="165" fontId="33" fillId="2" borderId="0" xfId="0" applyNumberFormat="1" applyFont="1" applyFill="1" applyBorder="1" applyAlignment="1">
      <alignment/>
    </xf>
    <xf numFmtId="165" fontId="1" fillId="2" borderId="0" xfId="0" applyNumberFormat="1" applyFont="1" applyFill="1" applyAlignment="1">
      <alignment/>
    </xf>
    <xf numFmtId="4" fontId="3" fillId="21" borderId="22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168" fontId="3" fillId="11" borderId="0" xfId="0" applyNumberFormat="1" applyFont="1" applyFill="1" applyAlignment="1">
      <alignment/>
    </xf>
    <xf numFmtId="4" fontId="3" fillId="11" borderId="0" xfId="0" applyNumberFormat="1" applyFont="1" applyFill="1" applyAlignment="1">
      <alignment/>
    </xf>
    <xf numFmtId="173" fontId="1" fillId="0" borderId="0" xfId="0" applyNumberFormat="1" applyFont="1" applyAlignment="1">
      <alignment/>
    </xf>
    <xf numFmtId="173" fontId="1" fillId="0" borderId="22" xfId="0" applyNumberFormat="1" applyFont="1" applyBorder="1" applyAlignment="1">
      <alignment/>
    </xf>
    <xf numFmtId="173" fontId="1" fillId="18" borderId="0" xfId="0" applyNumberFormat="1" applyFont="1" applyFill="1" applyAlignment="1">
      <alignment/>
    </xf>
    <xf numFmtId="4" fontId="13" fillId="0" borderId="0" xfId="0" applyNumberFormat="1" applyFont="1" applyAlignment="1">
      <alignment/>
    </xf>
    <xf numFmtId="4" fontId="13" fillId="21" borderId="28" xfId="0" applyNumberFormat="1" applyFont="1" applyFill="1" applyBorder="1" applyAlignment="1">
      <alignment/>
    </xf>
    <xf numFmtId="4" fontId="13" fillId="0" borderId="29" xfId="0" applyNumberFormat="1" applyFont="1" applyBorder="1" applyAlignment="1">
      <alignment/>
    </xf>
    <xf numFmtId="4" fontId="13" fillId="0" borderId="30" xfId="0" applyNumberFormat="1" applyFont="1" applyBorder="1" applyAlignment="1">
      <alignment/>
    </xf>
    <xf numFmtId="4" fontId="13" fillId="21" borderId="31" xfId="0" applyNumberFormat="1" applyFont="1" applyFill="1" applyBorder="1" applyAlignment="1">
      <alignment horizontal="center"/>
    </xf>
    <xf numFmtId="4" fontId="13" fillId="5" borderId="0" xfId="0" applyNumberFormat="1" applyFont="1" applyFill="1" applyBorder="1" applyAlignment="1">
      <alignment horizontal="center"/>
    </xf>
    <xf numFmtId="4" fontId="13" fillId="5" borderId="0" xfId="0" applyNumberFormat="1" applyFont="1" applyFill="1" applyBorder="1" applyAlignment="1">
      <alignment/>
    </xf>
    <xf numFmtId="4" fontId="13" fillId="5" borderId="32" xfId="0" applyNumberFormat="1" applyFont="1" applyFill="1" applyBorder="1" applyAlignment="1">
      <alignment/>
    </xf>
    <xf numFmtId="4" fontId="35" fillId="0" borderId="33" xfId="0" applyNumberFormat="1" applyFont="1" applyBorder="1" applyAlignment="1">
      <alignment/>
    </xf>
    <xf numFmtId="4" fontId="35" fillId="0" borderId="34" xfId="0" applyNumberFormat="1" applyFont="1" applyBorder="1" applyAlignment="1">
      <alignment/>
    </xf>
    <xf numFmtId="4" fontId="35" fillId="0" borderId="35" xfId="0" applyNumberFormat="1" applyFont="1" applyBorder="1" applyAlignment="1">
      <alignment/>
    </xf>
    <xf numFmtId="0" fontId="1" fillId="0" borderId="34" xfId="0" applyFont="1" applyBorder="1" applyAlignment="1">
      <alignment/>
    </xf>
    <xf numFmtId="168" fontId="1" fillId="18" borderId="0" xfId="0" applyNumberFormat="1" applyFont="1" applyFill="1" applyAlignment="1">
      <alignment horizontal="right" indent="1"/>
    </xf>
    <xf numFmtId="0" fontId="2" fillId="0" borderId="0" xfId="0" applyFont="1" applyBorder="1" applyAlignment="1">
      <alignment/>
    </xf>
    <xf numFmtId="168" fontId="33" fillId="18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36" fillId="0" borderId="0" xfId="0" applyFont="1" applyAlignment="1">
      <alignment/>
    </xf>
    <xf numFmtId="4" fontId="33" fillId="18" borderId="27" xfId="0" applyNumberFormat="1" applyFont="1" applyFill="1" applyBorder="1" applyAlignment="1">
      <alignment/>
    </xf>
    <xf numFmtId="0" fontId="34" fillId="21" borderId="0" xfId="0" applyFont="1" applyFill="1" applyAlignment="1">
      <alignment horizontal="center" vertical="center"/>
    </xf>
    <xf numFmtId="0" fontId="16" fillId="18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5"/>
  <sheetViews>
    <sheetView tabSelected="1" workbookViewId="0" topLeftCell="A136">
      <selection activeCell="N219" sqref="N219"/>
    </sheetView>
  </sheetViews>
  <sheetFormatPr defaultColWidth="10.50390625" defaultRowHeight="15.75"/>
  <cols>
    <col min="1" max="1" width="13.375" style="1" customWidth="1"/>
    <col min="2" max="2" width="14.00390625" style="1" customWidth="1"/>
    <col min="3" max="3" width="18.875" style="1" customWidth="1"/>
    <col min="4" max="4" width="13.125" style="1" customWidth="1"/>
    <col min="5" max="6" width="11.625" style="1" customWidth="1"/>
    <col min="7" max="10" width="10.50390625" style="1" customWidth="1"/>
    <col min="11" max="11" width="13.50390625" style="1" customWidth="1"/>
    <col min="12" max="12" width="12.875" style="1" customWidth="1"/>
    <col min="13" max="13" width="13.00390625" style="1" customWidth="1"/>
    <col min="14" max="14" width="10.50390625" style="1" customWidth="1"/>
    <col min="15" max="15" width="10.50390625" style="2" customWidth="1"/>
    <col min="16" max="16" width="10.50390625" style="1" customWidth="1"/>
    <col min="17" max="17" width="11.875" style="1" customWidth="1"/>
    <col min="18" max="18" width="10.50390625" style="1" customWidth="1"/>
    <col min="19" max="19" width="14.875" style="1" customWidth="1"/>
    <col min="20" max="20" width="10.50390625" style="1" customWidth="1"/>
    <col min="21" max="22" width="10.50390625" style="60" customWidth="1"/>
    <col min="23" max="16384" width="10.50390625" style="1" customWidth="1"/>
  </cols>
  <sheetData>
    <row r="1" ht="12.75" thickBot="1"/>
    <row r="2" spans="1:15" ht="12">
      <c r="A2" s="97" t="s">
        <v>0</v>
      </c>
      <c r="B2" s="98"/>
      <c r="C2" s="98"/>
      <c r="D2" s="98"/>
      <c r="E2" s="98"/>
      <c r="F2" s="98"/>
      <c r="G2" s="99">
        <f>0.3634</f>
        <v>0.3634</v>
      </c>
      <c r="H2" s="98" t="s">
        <v>1</v>
      </c>
      <c r="I2" s="100">
        <v>0.178</v>
      </c>
      <c r="J2" s="98"/>
      <c r="K2" s="101">
        <f>G2+I2</f>
        <v>0.5414</v>
      </c>
      <c r="L2" s="98">
        <f>7+7</f>
        <v>14</v>
      </c>
      <c r="M2" s="98" t="s">
        <v>2</v>
      </c>
      <c r="N2" s="98"/>
      <c r="O2" s="7">
        <f>K2*14</f>
        <v>7.5796</v>
      </c>
    </row>
    <row r="3" spans="1:15" ht="12.75" thickBot="1">
      <c r="A3" s="97" t="s">
        <v>3</v>
      </c>
      <c r="B3" s="98"/>
      <c r="C3" s="98"/>
      <c r="D3" s="98"/>
      <c r="E3" s="98"/>
      <c r="F3" s="98"/>
      <c r="G3" s="99">
        <f>0.2544</f>
        <v>0.2544</v>
      </c>
      <c r="H3" s="98" t="s">
        <v>1</v>
      </c>
      <c r="I3" s="102">
        <v>0.0376</v>
      </c>
      <c r="J3" s="98"/>
      <c r="K3" s="103">
        <f>G3+I3</f>
        <v>0.29200000000000004</v>
      </c>
      <c r="L3" s="98">
        <f>8+2</f>
        <v>10</v>
      </c>
      <c r="M3" s="98" t="s">
        <v>4</v>
      </c>
      <c r="N3" s="98"/>
      <c r="O3" s="10">
        <f>K3*10</f>
        <v>2.9200000000000004</v>
      </c>
    </row>
    <row r="4" spans="1:16" ht="12.75" thickBot="1">
      <c r="A4" s="97"/>
      <c r="B4" s="98"/>
      <c r="C4" s="98"/>
      <c r="D4" s="98"/>
      <c r="E4" s="98"/>
      <c r="F4" s="98"/>
      <c r="G4" s="99"/>
      <c r="H4" s="98"/>
      <c r="I4" s="98"/>
      <c r="J4" s="98"/>
      <c r="K4" s="98"/>
      <c r="L4" s="98"/>
      <c r="M4" s="98"/>
      <c r="N4" s="98"/>
      <c r="O4" s="13">
        <f>SUM(O2:O3)/24</f>
        <v>0.4374833333333334</v>
      </c>
      <c r="P4" s="1" t="s">
        <v>5</v>
      </c>
    </row>
    <row r="5" spans="1:15" ht="12.75" thickBot="1">
      <c r="A5" s="104" t="s">
        <v>6</v>
      </c>
      <c r="B5" s="105" t="s">
        <v>7</v>
      </c>
      <c r="C5" s="98"/>
      <c r="D5" s="98"/>
      <c r="E5" s="98"/>
      <c r="F5" s="98"/>
      <c r="G5" s="99">
        <v>0.3143</v>
      </c>
      <c r="H5" s="98" t="s">
        <v>1</v>
      </c>
      <c r="I5" s="102">
        <v>0.1147</v>
      </c>
      <c r="J5" s="98"/>
      <c r="K5" s="106">
        <f>G5+I5</f>
        <v>0.42900000000000005</v>
      </c>
      <c r="L5" s="98">
        <f>24</f>
        <v>24</v>
      </c>
      <c r="M5" s="98" t="s">
        <v>4</v>
      </c>
      <c r="N5" s="98"/>
      <c r="O5" s="16">
        <f>K5</f>
        <v>0.42900000000000005</v>
      </c>
    </row>
    <row r="6" spans="1:15" ht="12.75" thickBot="1">
      <c r="A6" s="104"/>
      <c r="B6" s="105"/>
      <c r="C6" s="98"/>
      <c r="D6" s="98"/>
      <c r="E6" s="98"/>
      <c r="F6" s="98"/>
      <c r="G6" s="99"/>
      <c r="H6" s="98"/>
      <c r="I6" s="102"/>
      <c r="J6" s="98"/>
      <c r="K6" s="107"/>
      <c r="L6" s="98"/>
      <c r="M6" s="98"/>
      <c r="N6" s="98"/>
      <c r="O6" s="19"/>
    </row>
    <row r="7" spans="1:15" ht="12">
      <c r="A7" s="104" t="s">
        <v>77</v>
      </c>
      <c r="B7" s="105"/>
      <c r="C7" s="98" t="s">
        <v>8</v>
      </c>
      <c r="D7" s="98"/>
      <c r="E7" s="98"/>
      <c r="F7" s="98"/>
      <c r="G7" s="99">
        <f>0.3763</f>
        <v>0.3763</v>
      </c>
      <c r="H7" s="98" t="s">
        <v>1</v>
      </c>
      <c r="I7" s="100">
        <v>0.1918</v>
      </c>
      <c r="J7" s="108">
        <f>K7-K2</f>
        <v>0.026700000000000057</v>
      </c>
      <c r="K7" s="101">
        <f>G7+I7</f>
        <v>0.5681</v>
      </c>
      <c r="L7" s="98">
        <f>7+7</f>
        <v>14</v>
      </c>
      <c r="M7" s="98" t="s">
        <v>2</v>
      </c>
      <c r="N7" s="98"/>
      <c r="O7" s="7">
        <f>K7*14</f>
        <v>7.9534</v>
      </c>
    </row>
    <row r="8" spans="1:15" ht="12.75" thickBot="1">
      <c r="A8" s="104" t="s">
        <v>77</v>
      </c>
      <c r="B8" s="105"/>
      <c r="C8" s="98"/>
      <c r="D8" s="98"/>
      <c r="E8" s="98"/>
      <c r="F8" s="98"/>
      <c r="G8" s="99">
        <f>0.2663</f>
        <v>0.2663</v>
      </c>
      <c r="H8" s="98" t="s">
        <v>1</v>
      </c>
      <c r="I8" s="102">
        <v>0.0392</v>
      </c>
      <c r="J8" s="108">
        <f>K8-K3</f>
        <v>0.013499999999999956</v>
      </c>
      <c r="K8" s="103">
        <f>G8+I8</f>
        <v>0.3055</v>
      </c>
      <c r="L8" s="98">
        <f>8+2</f>
        <v>10</v>
      </c>
      <c r="M8" s="98" t="s">
        <v>4</v>
      </c>
      <c r="N8" s="98"/>
      <c r="O8" s="10">
        <f>K8*10</f>
        <v>3.0549999999999997</v>
      </c>
    </row>
    <row r="9" spans="1:15" ht="12.75" thickBot="1">
      <c r="A9" s="14"/>
      <c r="B9" s="91" t="s">
        <v>75</v>
      </c>
      <c r="C9" s="11"/>
      <c r="D9" s="11"/>
      <c r="E9" s="11"/>
      <c r="F9" s="11"/>
      <c r="G9" s="12"/>
      <c r="H9" s="11"/>
      <c r="I9" s="17"/>
      <c r="J9" s="11"/>
      <c r="K9" s="18"/>
      <c r="L9" s="11"/>
      <c r="M9" s="11"/>
      <c r="N9" s="11"/>
      <c r="O9" s="19"/>
    </row>
    <row r="10" spans="1:15" ht="12">
      <c r="A10" s="21" t="s">
        <v>9</v>
      </c>
      <c r="B10" s="15" t="s">
        <v>10</v>
      </c>
      <c r="C10" s="3" t="s">
        <v>11</v>
      </c>
      <c r="D10" s="3"/>
      <c r="E10" s="3"/>
      <c r="F10" s="3"/>
      <c r="G10" s="4">
        <v>0.3168</v>
      </c>
      <c r="H10" s="3" t="s">
        <v>1</v>
      </c>
      <c r="I10" s="5">
        <f>0.0976+0.007</f>
        <v>0.10460000000000001</v>
      </c>
      <c r="J10" s="20">
        <f>K10-K5</f>
        <v>0.08932200000000001</v>
      </c>
      <c r="K10" s="6">
        <f>(G10+I10)*1.23</f>
        <v>0.5183220000000001</v>
      </c>
      <c r="L10" s="3">
        <f>7+7</f>
        <v>14</v>
      </c>
      <c r="M10" s="3" t="s">
        <v>2</v>
      </c>
      <c r="N10" s="3"/>
      <c r="O10" s="7">
        <f>K10*14</f>
        <v>7.256508000000001</v>
      </c>
    </row>
    <row r="11" spans="1:15" ht="12.75" thickBot="1">
      <c r="A11" s="14"/>
      <c r="B11" s="15"/>
      <c r="C11" s="3"/>
      <c r="D11" s="3"/>
      <c r="E11" s="3"/>
      <c r="F11" s="3"/>
      <c r="G11" s="4">
        <v>0.2274</v>
      </c>
      <c r="H11" s="3" t="s">
        <v>1</v>
      </c>
      <c r="I11" s="8">
        <f>0.0193+0.007</f>
        <v>0.0263</v>
      </c>
      <c r="J11" s="20">
        <f>K11-K6</f>
        <v>0.31205099999999997</v>
      </c>
      <c r="K11" s="9">
        <f>(G11+I11)*1.23</f>
        <v>0.31205099999999997</v>
      </c>
      <c r="L11" s="3">
        <f>8+2</f>
        <v>10</v>
      </c>
      <c r="M11" s="3" t="s">
        <v>4</v>
      </c>
      <c r="N11" s="3"/>
      <c r="O11" s="10">
        <f>K11*10</f>
        <v>3.1205099999999995</v>
      </c>
    </row>
    <row r="12" spans="1:16" ht="12">
      <c r="A12" s="14"/>
      <c r="B12" s="15"/>
      <c r="C12" s="11"/>
      <c r="D12" s="11"/>
      <c r="E12" s="11"/>
      <c r="F12" s="11"/>
      <c r="G12" s="12"/>
      <c r="H12" s="11"/>
      <c r="I12" s="17"/>
      <c r="J12" s="11"/>
      <c r="K12" s="18"/>
      <c r="L12" s="11"/>
      <c r="M12" s="11"/>
      <c r="N12" s="11"/>
      <c r="O12" s="13">
        <f>SUM(O10:O11)/24</f>
        <v>0.43237575</v>
      </c>
      <c r="P12" s="1" t="s">
        <v>5</v>
      </c>
    </row>
    <row r="13" ht="12"/>
    <row r="14" ht="12"/>
    <row r="15" spans="2:8" ht="12">
      <c r="B15" s="22" t="s">
        <v>12</v>
      </c>
      <c r="C15" s="23">
        <v>10000</v>
      </c>
      <c r="D15" s="24" t="s">
        <v>13</v>
      </c>
      <c r="F15" s="77" t="s">
        <v>76</v>
      </c>
      <c r="G15" s="77"/>
      <c r="H15" s="77"/>
    </row>
    <row r="16" spans="2:8" ht="12">
      <c r="B16" s="25" t="s">
        <v>14</v>
      </c>
      <c r="C16" s="26">
        <f>C15*0.85</f>
        <v>8500</v>
      </c>
      <c r="D16" s="27" t="s">
        <v>15</v>
      </c>
      <c r="F16" s="22" t="s">
        <v>16</v>
      </c>
      <c r="G16" s="23">
        <v>780</v>
      </c>
      <c r="H16" s="24"/>
    </row>
    <row r="17" spans="2:8" ht="12">
      <c r="B17" s="28" t="s">
        <v>17</v>
      </c>
      <c r="C17" s="29">
        <v>860</v>
      </c>
      <c r="D17" s="30" t="s">
        <v>13</v>
      </c>
      <c r="F17" s="25" t="s">
        <v>18</v>
      </c>
      <c r="G17" s="26">
        <f>190*12</f>
        <v>2280</v>
      </c>
      <c r="H17" s="27"/>
    </row>
    <row r="18" spans="2:11" ht="12">
      <c r="B18" s="31"/>
      <c r="C18" s="31"/>
      <c r="F18" s="95" t="s">
        <v>19</v>
      </c>
      <c r="G18" s="96">
        <f>12*650</f>
        <v>7800</v>
      </c>
      <c r="H18" s="27"/>
      <c r="K18" s="31"/>
    </row>
    <row r="19" spans="1:14" ht="12">
      <c r="A19" s="31"/>
      <c r="B19" s="31"/>
      <c r="C19" s="31"/>
      <c r="D19" s="31"/>
      <c r="E19" s="31"/>
      <c r="F19" s="25" t="s">
        <v>109</v>
      </c>
      <c r="G19" s="93">
        <f>SUM(G16:G18)</f>
        <v>10860</v>
      </c>
      <c r="H19" s="32"/>
      <c r="K19" s="31"/>
      <c r="L19" s="31"/>
      <c r="M19" s="31"/>
      <c r="N19" s="31"/>
    </row>
    <row r="20" spans="1:14" ht="12">
      <c r="A20" s="31"/>
      <c r="B20" s="31"/>
      <c r="C20" s="31"/>
      <c r="D20" s="31"/>
      <c r="E20" s="31"/>
      <c r="F20" s="28"/>
      <c r="G20" s="109">
        <f>G19/12</f>
        <v>905</v>
      </c>
      <c r="H20" s="33" t="s">
        <v>20</v>
      </c>
      <c r="J20" s="94"/>
      <c r="K20" s="31"/>
      <c r="L20" s="31"/>
      <c r="M20" s="31"/>
      <c r="N20" s="31"/>
    </row>
    <row r="21" spans="1:14" ht="12.75" thickBot="1">
      <c r="A21" s="31"/>
      <c r="B21" s="31"/>
      <c r="C21" s="31"/>
      <c r="D21" s="31"/>
      <c r="E21" s="31"/>
      <c r="F21" s="31"/>
      <c r="G21" s="31"/>
      <c r="H21" s="31"/>
      <c r="K21" s="31"/>
      <c r="L21" s="31"/>
      <c r="M21" s="31"/>
      <c r="N21" s="31"/>
    </row>
    <row r="22" spans="1:14" ht="12.75" thickBot="1">
      <c r="A22" s="31"/>
      <c r="B22" s="31"/>
      <c r="C22" s="31"/>
      <c r="D22" s="31"/>
      <c r="E22" s="31"/>
      <c r="F22" s="34">
        <v>3.11</v>
      </c>
      <c r="G22" s="35" t="s">
        <v>21</v>
      </c>
      <c r="H22" s="36" t="s">
        <v>22</v>
      </c>
      <c r="K22" s="31"/>
      <c r="L22" s="31"/>
      <c r="M22" s="31"/>
      <c r="N22" s="31"/>
    </row>
    <row r="23" spans="1:14" ht="1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1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12">
      <c r="A26" s="31"/>
      <c r="B26" s="31"/>
      <c r="C26" s="45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5" thickBot="1">
      <c r="A28" s="31"/>
      <c r="B28" s="116" t="s">
        <v>110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4.25">
      <c r="A29" s="31"/>
      <c r="B29" s="117" t="s">
        <v>24</v>
      </c>
      <c r="C29" s="118"/>
      <c r="D29" s="118"/>
      <c r="E29" s="118"/>
      <c r="F29" s="119"/>
      <c r="G29" s="31"/>
      <c r="H29" s="31"/>
      <c r="I29" s="31"/>
      <c r="J29" s="31"/>
      <c r="K29" s="31"/>
      <c r="L29" s="31"/>
      <c r="M29" s="31"/>
      <c r="N29" s="38"/>
    </row>
    <row r="30" spans="1:14" ht="14.25">
      <c r="A30" s="31"/>
      <c r="B30" s="120" t="s">
        <v>25</v>
      </c>
      <c r="C30" s="121" t="s">
        <v>13</v>
      </c>
      <c r="D30" s="122"/>
      <c r="E30" s="122" t="s">
        <v>26</v>
      </c>
      <c r="F30" s="123" t="s">
        <v>27</v>
      </c>
      <c r="G30" s="31"/>
      <c r="H30" s="31"/>
      <c r="I30" s="31"/>
      <c r="J30" s="31"/>
      <c r="K30" s="31"/>
      <c r="L30" s="31"/>
      <c r="M30" s="31"/>
      <c r="N30" s="31"/>
    </row>
    <row r="31" spans="2:14" ht="15" thickBot="1">
      <c r="B31" s="124">
        <v>7200</v>
      </c>
      <c r="C31" s="125">
        <f>B31*$C$16</f>
        <v>61200000</v>
      </c>
      <c r="D31" s="125"/>
      <c r="E31" s="125">
        <f>B31*F22</f>
        <v>22392</v>
      </c>
      <c r="F31" s="126">
        <f>E31/12</f>
        <v>1866</v>
      </c>
      <c r="G31" s="31"/>
      <c r="H31" s="31"/>
      <c r="I31" s="31"/>
      <c r="J31" s="31"/>
      <c r="K31" s="31"/>
      <c r="L31" s="31"/>
      <c r="M31" s="31"/>
      <c r="N31" s="31"/>
    </row>
    <row r="32" spans="2:14" ht="12">
      <c r="B32" s="25" t="s">
        <v>28</v>
      </c>
      <c r="C32" s="26"/>
      <c r="D32" s="26"/>
      <c r="E32" s="26"/>
      <c r="F32" s="32"/>
      <c r="G32" s="31"/>
      <c r="H32" s="31"/>
      <c r="I32" s="31"/>
      <c r="J32" s="31"/>
      <c r="K32" s="31"/>
      <c r="L32" s="31"/>
      <c r="M32" s="31"/>
      <c r="N32" s="31"/>
    </row>
    <row r="33" spans="2:22" ht="12">
      <c r="B33" s="39" t="s">
        <v>29</v>
      </c>
      <c r="C33" s="40" t="s">
        <v>30</v>
      </c>
      <c r="D33" s="40" t="s">
        <v>31</v>
      </c>
      <c r="E33" s="26"/>
      <c r="F33" s="32"/>
      <c r="G33" s="31"/>
      <c r="H33" s="31"/>
      <c r="I33" s="31"/>
      <c r="J33" s="31"/>
      <c r="K33" s="31"/>
      <c r="L33" s="31"/>
      <c r="M33" s="31"/>
      <c r="N33" s="31"/>
      <c r="O33" s="1"/>
      <c r="U33" s="1"/>
      <c r="V33" s="1"/>
    </row>
    <row r="34" spans="1:22" ht="12">
      <c r="A34" s="31"/>
      <c r="B34" s="41">
        <f>C31/$C$17</f>
        <v>71162.79069767441</v>
      </c>
      <c r="C34" s="42">
        <f>B34/200</f>
        <v>355.8139534883721</v>
      </c>
      <c r="D34" s="42">
        <f>C34/24</f>
        <v>14.825581395348836</v>
      </c>
      <c r="E34" s="43"/>
      <c r="F34" s="44">
        <f>C34*O4*30</f>
        <v>4669.88023255814</v>
      </c>
      <c r="G34" s="31"/>
      <c r="H34" s="31"/>
      <c r="I34" s="31"/>
      <c r="J34" s="31"/>
      <c r="K34" s="31"/>
      <c r="L34" s="31"/>
      <c r="M34" s="31"/>
      <c r="N34" s="31"/>
      <c r="O34" s="1"/>
      <c r="U34" s="1"/>
      <c r="V34" s="1"/>
    </row>
    <row r="35" spans="1:22" ht="12">
      <c r="A35" s="31"/>
      <c r="B35" s="45"/>
      <c r="C35" s="31"/>
      <c r="D35" s="31"/>
      <c r="E35" s="31"/>
      <c r="F35" s="31"/>
      <c r="G35" s="31"/>
      <c r="H35" s="31"/>
      <c r="I35" s="31"/>
      <c r="J35" s="26"/>
      <c r="K35" s="26"/>
      <c r="L35" s="26"/>
      <c r="M35" s="26"/>
      <c r="N35" s="26"/>
      <c r="O35" s="1"/>
      <c r="U35" s="1"/>
      <c r="V35" s="1"/>
    </row>
    <row r="36" spans="1:22" ht="12">
      <c r="A36" s="31"/>
      <c r="B36" s="46" t="s">
        <v>32</v>
      </c>
      <c r="C36" s="47" t="s">
        <v>33</v>
      </c>
      <c r="D36" s="48" t="s">
        <v>34</v>
      </c>
      <c r="E36" s="48" t="s">
        <v>31</v>
      </c>
      <c r="F36" s="48" t="s">
        <v>35</v>
      </c>
      <c r="G36" s="48" t="s">
        <v>36</v>
      </c>
      <c r="H36" s="37"/>
      <c r="I36" s="31"/>
      <c r="J36" s="26"/>
      <c r="K36" s="93"/>
      <c r="L36" s="26"/>
      <c r="M36" s="26"/>
      <c r="N36" s="26"/>
      <c r="O36" s="1"/>
      <c r="U36" s="1"/>
      <c r="V36" s="1"/>
    </row>
    <row r="37" spans="1:22" ht="12">
      <c r="A37" s="31"/>
      <c r="B37" s="49">
        <f>24*0.8</f>
        <v>19.200000000000003</v>
      </c>
      <c r="C37" s="50">
        <f>B37/24</f>
        <v>0.8000000000000002</v>
      </c>
      <c r="D37" s="50">
        <f>C37*$C$16</f>
        <v>6800.000000000001</v>
      </c>
      <c r="E37" s="50">
        <f>D37/C17</f>
        <v>7.906976744186047</v>
      </c>
      <c r="F37" s="50">
        <v>550</v>
      </c>
      <c r="G37" s="50">
        <f>(E37*1000)/F37</f>
        <v>14.376321353065542</v>
      </c>
      <c r="H37" s="44" t="s">
        <v>37</v>
      </c>
      <c r="I37" s="31"/>
      <c r="J37" s="26"/>
      <c r="K37" s="51"/>
      <c r="L37" s="51"/>
      <c r="M37" s="51"/>
      <c r="N37" s="26"/>
      <c r="O37" s="1"/>
      <c r="U37" s="1"/>
      <c r="V37" s="1"/>
    </row>
    <row r="38" spans="1:22" ht="12">
      <c r="A38" s="31"/>
      <c r="B38" s="45"/>
      <c r="C38" s="31"/>
      <c r="D38" s="31"/>
      <c r="E38" s="31"/>
      <c r="F38" s="31"/>
      <c r="G38" s="31"/>
      <c r="H38" s="31"/>
      <c r="I38" s="31"/>
      <c r="J38" s="26"/>
      <c r="K38" s="92"/>
      <c r="L38" s="26"/>
      <c r="M38" s="26"/>
      <c r="N38" s="26"/>
      <c r="O38" s="1"/>
      <c r="U38" s="1"/>
      <c r="V38" s="1"/>
    </row>
    <row r="39" spans="1:22" ht="12">
      <c r="A39" s="31"/>
      <c r="B39" s="49">
        <v>45</v>
      </c>
      <c r="C39" s="50">
        <f>B39/24</f>
        <v>1.875</v>
      </c>
      <c r="D39" s="50">
        <f>C39*$C$16</f>
        <v>15937.5</v>
      </c>
      <c r="E39" s="50">
        <f>D39/$C$17</f>
        <v>18.531976744186046</v>
      </c>
      <c r="F39" s="50">
        <v>550</v>
      </c>
      <c r="G39" s="50">
        <f>(E39*1000)/F39</f>
        <v>33.694503171247355</v>
      </c>
      <c r="H39" s="44" t="s">
        <v>38</v>
      </c>
      <c r="I39" s="31"/>
      <c r="J39" s="26"/>
      <c r="K39" s="26"/>
      <c r="L39" s="26"/>
      <c r="M39" s="26"/>
      <c r="N39" s="26"/>
      <c r="O39" s="1"/>
      <c r="U39" s="1"/>
      <c r="V39" s="1"/>
    </row>
    <row r="40" spans="1:22" ht="12">
      <c r="A40" s="31"/>
      <c r="B40" s="45"/>
      <c r="C40" s="31"/>
      <c r="D40" s="31"/>
      <c r="E40" s="31"/>
      <c r="F40" s="31"/>
      <c r="G40" s="31"/>
      <c r="H40" s="31"/>
      <c r="I40" s="31"/>
      <c r="J40" s="26"/>
      <c r="K40" s="26"/>
      <c r="L40" s="26"/>
      <c r="M40" s="26"/>
      <c r="N40" s="26"/>
      <c r="O40" s="1"/>
      <c r="U40" s="1"/>
      <c r="V40" s="1"/>
    </row>
    <row r="41" spans="1:22" ht="12">
      <c r="A41" s="31"/>
      <c r="B41" s="49">
        <v>52</v>
      </c>
      <c r="C41" s="50">
        <f>B41/24</f>
        <v>2.1666666666666665</v>
      </c>
      <c r="D41" s="50">
        <f>C41*$C$16</f>
        <v>18416.666666666664</v>
      </c>
      <c r="E41" s="50">
        <f>D41/$C$17</f>
        <v>21.41472868217054</v>
      </c>
      <c r="F41" s="50">
        <v>550</v>
      </c>
      <c r="G41" s="50">
        <f>(E41*1000)/F41</f>
        <v>38.93587033121917</v>
      </c>
      <c r="H41" s="44" t="s">
        <v>39</v>
      </c>
      <c r="I41" s="31"/>
      <c r="J41" s="26"/>
      <c r="K41" s="26"/>
      <c r="L41" s="26"/>
      <c r="M41" s="26"/>
      <c r="N41" s="26"/>
      <c r="O41" s="1"/>
      <c r="U41" s="1"/>
      <c r="V41" s="1"/>
    </row>
    <row r="42" spans="1:22" ht="1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1"/>
      <c r="U42" s="1"/>
      <c r="V42" s="1"/>
    </row>
    <row r="43" spans="1:22" ht="12">
      <c r="A43" s="31"/>
      <c r="B43" s="93"/>
      <c r="C43" s="93"/>
      <c r="D43" s="93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1"/>
      <c r="U43" s="1"/>
      <c r="V43" s="1"/>
    </row>
    <row r="44" spans="1:22" ht="12">
      <c r="A44" s="31"/>
      <c r="B44" s="93"/>
      <c r="C44" s="93"/>
      <c r="D44" s="93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1"/>
      <c r="U44" s="1"/>
      <c r="V44" s="1"/>
    </row>
    <row r="45" ht="12"/>
    <row r="46" ht="12"/>
    <row r="47" ht="12"/>
    <row r="48" spans="1:22" ht="36">
      <c r="A48" s="135" t="s">
        <v>40</v>
      </c>
      <c r="B48" s="135"/>
      <c r="C48" s="135"/>
      <c r="D48" s="52" t="s">
        <v>41</v>
      </c>
      <c r="E48" s="52" t="s">
        <v>42</v>
      </c>
      <c r="F48" s="52" t="s">
        <v>43</v>
      </c>
      <c r="G48" s="53" t="s">
        <v>44</v>
      </c>
      <c r="H48" s="53" t="s">
        <v>45</v>
      </c>
      <c r="I48" s="53" t="s">
        <v>46</v>
      </c>
      <c r="J48" s="54" t="s">
        <v>47</v>
      </c>
      <c r="K48" s="52" t="s">
        <v>48</v>
      </c>
      <c r="L48" s="52" t="s">
        <v>49</v>
      </c>
      <c r="M48" s="53" t="s">
        <v>50</v>
      </c>
      <c r="N48" s="53" t="s">
        <v>51</v>
      </c>
      <c r="O48" s="55" t="s">
        <v>52</v>
      </c>
      <c r="U48" s="1"/>
      <c r="V48" s="1"/>
    </row>
    <row r="49" spans="1:22" ht="12">
      <c r="A49" s="11"/>
      <c r="B49" s="11"/>
      <c r="C49" s="11"/>
      <c r="D49" s="11"/>
      <c r="E49" s="11"/>
      <c r="F49" s="11"/>
      <c r="G49" s="11"/>
      <c r="H49" s="11"/>
      <c r="I49" s="11"/>
      <c r="U49" s="1"/>
      <c r="V49" s="1"/>
    </row>
    <row r="50" spans="1:22" ht="12">
      <c r="A50" s="56" t="s">
        <v>53</v>
      </c>
      <c r="B50" s="56"/>
      <c r="C50" s="56"/>
      <c r="D50" s="57">
        <v>40449</v>
      </c>
      <c r="E50" s="58">
        <v>0.5625</v>
      </c>
      <c r="F50" s="59">
        <v>0</v>
      </c>
      <c r="G50" s="60"/>
      <c r="I50" s="61"/>
      <c r="J50" s="31"/>
      <c r="U50" s="1"/>
      <c r="V50" s="1"/>
    </row>
    <row r="51" spans="4:22" ht="12">
      <c r="D51" s="57">
        <v>40452</v>
      </c>
      <c r="E51" s="58">
        <v>0.7916666666666666</v>
      </c>
      <c r="F51" s="59">
        <v>199.5</v>
      </c>
      <c r="G51" s="60">
        <f>24*(D51-D50)+5.5</f>
        <v>77.5</v>
      </c>
      <c r="H51" s="31">
        <f aca="true" t="shared" si="0" ref="H51:H56">F51/G51</f>
        <v>2.574193548387097</v>
      </c>
      <c r="I51" s="62">
        <f aca="true" t="shared" si="1" ref="I51:I57">H51*24</f>
        <v>61.78064516129032</v>
      </c>
      <c r="J51" s="31">
        <f aca="true" t="shared" si="2" ref="J51:J56">(F51-F50)/(G51-G50)</f>
        <v>2.574193548387097</v>
      </c>
      <c r="K51" s="31">
        <f aca="true" t="shared" si="3" ref="K51:K57">J51*1000/550</f>
        <v>4.680351906158357</v>
      </c>
      <c r="L51" s="31">
        <f aca="true" t="shared" si="4" ref="L51:L56">J51*0.5</f>
        <v>1.2870967741935484</v>
      </c>
      <c r="M51" s="31">
        <f aca="true" t="shared" si="5" ref="M51:M56">J51*24</f>
        <v>61.78064516129032</v>
      </c>
      <c r="V51" s="1"/>
    </row>
    <row r="52" spans="1:22" ht="12">
      <c r="A52" s="56" t="s">
        <v>54</v>
      </c>
      <c r="B52" s="56"/>
      <c r="D52" s="57">
        <v>40453</v>
      </c>
      <c r="E52" s="58">
        <v>0.7916666666666666</v>
      </c>
      <c r="F52" s="59">
        <v>241</v>
      </c>
      <c r="G52" s="60">
        <f aca="true" t="shared" si="6" ref="G52:G57">24*(D52-D51)+G51</f>
        <v>101.5</v>
      </c>
      <c r="H52" s="31">
        <f t="shared" si="0"/>
        <v>2.374384236453202</v>
      </c>
      <c r="I52" s="62">
        <f t="shared" si="1"/>
        <v>56.98522167487685</v>
      </c>
      <c r="J52" s="31">
        <f t="shared" si="2"/>
        <v>1.7291666666666667</v>
      </c>
      <c r="K52" s="31">
        <f t="shared" si="3"/>
        <v>3.143939393939394</v>
      </c>
      <c r="L52" s="31">
        <f t="shared" si="4"/>
        <v>0.8645833333333334</v>
      </c>
      <c r="M52" s="31">
        <f t="shared" si="5"/>
        <v>41.5</v>
      </c>
      <c r="V52" s="1"/>
    </row>
    <row r="53" spans="4:22" ht="12">
      <c r="D53" s="57">
        <v>40455</v>
      </c>
      <c r="E53" s="58">
        <v>0.791666666666667</v>
      </c>
      <c r="F53" s="59">
        <v>342</v>
      </c>
      <c r="G53" s="60">
        <f t="shared" si="6"/>
        <v>149.5</v>
      </c>
      <c r="H53" s="31">
        <f t="shared" si="0"/>
        <v>2.2876254180602005</v>
      </c>
      <c r="I53" s="62">
        <f t="shared" si="1"/>
        <v>54.903010033444815</v>
      </c>
      <c r="J53" s="31">
        <f t="shared" si="2"/>
        <v>2.1041666666666665</v>
      </c>
      <c r="K53" s="31">
        <f t="shared" si="3"/>
        <v>3.8257575757575757</v>
      </c>
      <c r="L53" s="31">
        <f t="shared" si="4"/>
        <v>1.0520833333333333</v>
      </c>
      <c r="M53" s="31">
        <f t="shared" si="5"/>
        <v>50.5</v>
      </c>
      <c r="V53" s="1"/>
    </row>
    <row r="54" spans="4:22" ht="12">
      <c r="D54" s="63">
        <v>40457</v>
      </c>
      <c r="E54" s="58">
        <v>0.791666666666667</v>
      </c>
      <c r="F54" s="59">
        <v>424.5</v>
      </c>
      <c r="G54" s="60">
        <f t="shared" si="6"/>
        <v>197.5</v>
      </c>
      <c r="H54" s="31">
        <f t="shared" si="0"/>
        <v>2.149367088607595</v>
      </c>
      <c r="I54" s="62">
        <f t="shared" si="1"/>
        <v>51.584810126582276</v>
      </c>
      <c r="J54" s="31">
        <f t="shared" si="2"/>
        <v>1.71875</v>
      </c>
      <c r="K54" s="31">
        <f t="shared" si="3"/>
        <v>3.125</v>
      </c>
      <c r="L54" s="31">
        <f t="shared" si="4"/>
        <v>0.859375</v>
      </c>
      <c r="M54" s="31">
        <f t="shared" si="5"/>
        <v>41.25</v>
      </c>
      <c r="V54" s="1"/>
    </row>
    <row r="55" spans="4:22" ht="12">
      <c r="D55" s="63">
        <v>40467</v>
      </c>
      <c r="E55" s="58">
        <v>0.791666666666667</v>
      </c>
      <c r="F55" s="59">
        <v>993</v>
      </c>
      <c r="G55" s="60">
        <f t="shared" si="6"/>
        <v>437.5</v>
      </c>
      <c r="H55" s="31">
        <f t="shared" si="0"/>
        <v>2.2697142857142856</v>
      </c>
      <c r="I55" s="62">
        <f t="shared" si="1"/>
        <v>54.473142857142854</v>
      </c>
      <c r="J55" s="31">
        <f t="shared" si="2"/>
        <v>2.36875</v>
      </c>
      <c r="K55" s="31">
        <f t="shared" si="3"/>
        <v>4.306818181818182</v>
      </c>
      <c r="L55" s="31">
        <f t="shared" si="4"/>
        <v>1.184375</v>
      </c>
      <c r="M55" s="31">
        <f t="shared" si="5"/>
        <v>56.849999999999994</v>
      </c>
      <c r="V55" s="1"/>
    </row>
    <row r="56" spans="4:22" ht="12">
      <c r="D56" s="63">
        <v>40475</v>
      </c>
      <c r="E56" s="58">
        <v>0.791666666666667</v>
      </c>
      <c r="F56" s="59">
        <v>1562</v>
      </c>
      <c r="G56" s="60">
        <f t="shared" si="6"/>
        <v>629.5</v>
      </c>
      <c r="H56" s="31">
        <f t="shared" si="0"/>
        <v>2.4813343923749005</v>
      </c>
      <c r="I56" s="62">
        <f t="shared" si="1"/>
        <v>59.55202541699761</v>
      </c>
      <c r="J56" s="31">
        <f t="shared" si="2"/>
        <v>2.9635416666666665</v>
      </c>
      <c r="K56" s="31">
        <f t="shared" si="3"/>
        <v>5.388257575757575</v>
      </c>
      <c r="L56" s="31">
        <f t="shared" si="4"/>
        <v>1.4817708333333333</v>
      </c>
      <c r="M56" s="31">
        <f t="shared" si="5"/>
        <v>71.125</v>
      </c>
      <c r="V56" s="1"/>
    </row>
    <row r="57" spans="4:22" ht="12">
      <c r="D57" s="63">
        <v>40481</v>
      </c>
      <c r="E57" s="58">
        <v>0.791666666666667</v>
      </c>
      <c r="F57" s="59">
        <v>2006</v>
      </c>
      <c r="G57" s="60">
        <f t="shared" si="6"/>
        <v>773.5</v>
      </c>
      <c r="H57" s="31">
        <f>F57/G57</f>
        <v>2.5934065934065935</v>
      </c>
      <c r="I57" s="62">
        <f t="shared" si="1"/>
        <v>62.24175824175825</v>
      </c>
      <c r="J57" s="31">
        <f>(F57-F56)/(G57-G56)</f>
        <v>3.0833333333333335</v>
      </c>
      <c r="K57" s="31">
        <f t="shared" si="3"/>
        <v>5.606060606060606</v>
      </c>
      <c r="L57" s="31">
        <f>J57*0.5</f>
        <v>1.5416666666666667</v>
      </c>
      <c r="M57" s="31">
        <f>J57*24</f>
        <v>74</v>
      </c>
      <c r="V57" s="1"/>
    </row>
    <row r="58" spans="2:22" ht="12">
      <c r="B58" s="60">
        <f>G58/24</f>
        <v>39.229166666666664</v>
      </c>
      <c r="C58" s="1" t="s">
        <v>55</v>
      </c>
      <c r="D58" s="63">
        <v>40488</v>
      </c>
      <c r="E58" s="58">
        <v>0.6458333333333334</v>
      </c>
      <c r="F58" s="59">
        <v>2270</v>
      </c>
      <c r="G58" s="60">
        <f>24*(D58-D57)+G57</f>
        <v>941.5</v>
      </c>
      <c r="H58" s="31">
        <f>F58/G58</f>
        <v>2.411046202867764</v>
      </c>
      <c r="I58" s="62">
        <f>H58*24</f>
        <v>57.86510886882634</v>
      </c>
      <c r="J58" s="31">
        <f>(F58-F57)/(G58-G57)</f>
        <v>1.5714285714285714</v>
      </c>
      <c r="K58" s="31">
        <f>J58*1000/550</f>
        <v>2.8571428571428568</v>
      </c>
      <c r="L58" s="31">
        <f>J58*0.5</f>
        <v>0.7857142857142857</v>
      </c>
      <c r="M58" s="31">
        <f>J58*24</f>
        <v>37.714285714285715</v>
      </c>
      <c r="N58" s="64">
        <f>F58*O4</f>
        <v>993.0871666666668</v>
      </c>
      <c r="O58" s="65">
        <f>N58/B58*30</f>
        <v>759.4506213489115</v>
      </c>
      <c r="Q58" s="1">
        <v>760</v>
      </c>
      <c r="V58" s="1"/>
    </row>
    <row r="59" spans="4:22" ht="12">
      <c r="D59" s="63"/>
      <c r="F59" s="59"/>
      <c r="G59" s="60"/>
      <c r="I59" s="61"/>
      <c r="J59" s="31"/>
      <c r="V59" s="1"/>
    </row>
    <row r="60" spans="1:22" ht="48">
      <c r="A60" s="135" t="s">
        <v>83</v>
      </c>
      <c r="B60" s="135"/>
      <c r="C60" s="135"/>
      <c r="D60" s="52" t="s">
        <v>41</v>
      </c>
      <c r="E60" s="53" t="s">
        <v>44</v>
      </c>
      <c r="F60" s="53" t="s">
        <v>56</v>
      </c>
      <c r="G60" s="53" t="s">
        <v>57</v>
      </c>
      <c r="H60" s="53" t="s">
        <v>58</v>
      </c>
      <c r="I60" s="53" t="s">
        <v>82</v>
      </c>
      <c r="J60" s="53" t="s">
        <v>100</v>
      </c>
      <c r="K60" s="53" t="s">
        <v>59</v>
      </c>
      <c r="L60" s="52" t="s">
        <v>60</v>
      </c>
      <c r="M60" s="53" t="s">
        <v>81</v>
      </c>
      <c r="N60" s="53" t="s">
        <v>51</v>
      </c>
      <c r="O60" s="53" t="s">
        <v>61</v>
      </c>
      <c r="P60" s="66" t="s">
        <v>80</v>
      </c>
      <c r="R60" s="53" t="s">
        <v>84</v>
      </c>
      <c r="S60" s="53" t="s">
        <v>64</v>
      </c>
      <c r="T60" s="53" t="s">
        <v>81</v>
      </c>
      <c r="U60" s="53" t="s">
        <v>82</v>
      </c>
      <c r="V60" s="53" t="s">
        <v>78</v>
      </c>
    </row>
    <row r="61" spans="4:22" ht="12">
      <c r="D61" s="63"/>
      <c r="F61" s="67"/>
      <c r="G61" s="60"/>
      <c r="I61" s="11"/>
      <c r="J61" s="31"/>
      <c r="N61" s="56" t="s">
        <v>65</v>
      </c>
      <c r="O61" s="2" t="s">
        <v>66</v>
      </c>
      <c r="T61" s="60"/>
      <c r="V61" s="1"/>
    </row>
    <row r="62" spans="4:22" ht="12">
      <c r="D62" s="68">
        <v>40488</v>
      </c>
      <c r="E62" s="69">
        <v>0</v>
      </c>
      <c r="F62" s="59">
        <v>0</v>
      </c>
      <c r="G62" s="70">
        <v>0</v>
      </c>
      <c r="H62" s="56"/>
      <c r="I62" s="61"/>
      <c r="J62" s="31"/>
      <c r="N62" s="61"/>
      <c r="R62" s="1">
        <v>2270</v>
      </c>
      <c r="S62" s="1" t="s">
        <v>101</v>
      </c>
      <c r="T62" s="60"/>
      <c r="V62" s="1"/>
    </row>
    <row r="63" spans="1:22" ht="12">
      <c r="A63" s="56" t="s">
        <v>67</v>
      </c>
      <c r="D63" s="71">
        <v>40490</v>
      </c>
      <c r="E63" s="72">
        <f>24*(D63-D62)+3.5</f>
        <v>51.5</v>
      </c>
      <c r="F63" s="59">
        <v>78</v>
      </c>
      <c r="G63" s="70">
        <v>28</v>
      </c>
      <c r="H63" s="73">
        <f aca="true" t="shared" si="7" ref="H63:H126">SUM(F63:G63)</f>
        <v>106</v>
      </c>
      <c r="I63" s="62">
        <f aca="true" t="shared" si="8" ref="I63:I126">(H63/E63)*24</f>
        <v>49.398058252427184</v>
      </c>
      <c r="J63" s="31">
        <f aca="true" t="shared" si="9" ref="J63:J126">(H63-H62)/(E63-E62)</f>
        <v>2.058252427184466</v>
      </c>
      <c r="K63" s="31">
        <f aca="true" t="shared" si="10" ref="K63:K126">J63*1000/550</f>
        <v>3.7422771403353927</v>
      </c>
      <c r="L63" s="74">
        <f aca="true" t="shared" si="11" ref="L63:L126">G63/H63</f>
        <v>0.2641509433962264</v>
      </c>
      <c r="M63" s="31">
        <f aca="true" t="shared" si="12" ref="M63:M126">J63*24</f>
        <v>49.398058252427184</v>
      </c>
      <c r="N63" s="64">
        <f aca="true" t="shared" si="13" ref="N63:N107">F63*$K$2+G63*$K$3</f>
        <v>50.4052</v>
      </c>
      <c r="O63" s="31">
        <f aca="true" t="shared" si="14" ref="O63:O126">H63*$K$5</f>
        <v>45.474000000000004</v>
      </c>
      <c r="P63" s="75" t="s">
        <v>68</v>
      </c>
      <c r="T63" s="60"/>
      <c r="V63" s="1"/>
    </row>
    <row r="64" spans="4:22" ht="12">
      <c r="D64" s="71">
        <v>40492</v>
      </c>
      <c r="E64" s="72">
        <f aca="true" t="shared" si="15" ref="E64:E127">24*(D64-D63)+E63</f>
        <v>99.5</v>
      </c>
      <c r="F64" s="59">
        <v>124</v>
      </c>
      <c r="G64" s="70">
        <v>53</v>
      </c>
      <c r="H64" s="73">
        <f t="shared" si="7"/>
        <v>177</v>
      </c>
      <c r="I64" s="62">
        <f t="shared" si="8"/>
        <v>42.69346733668341</v>
      </c>
      <c r="J64" s="31">
        <f t="shared" si="9"/>
        <v>1.4791666666666667</v>
      </c>
      <c r="K64" s="31">
        <f t="shared" si="10"/>
        <v>2.6893939393939394</v>
      </c>
      <c r="L64" s="74">
        <f t="shared" si="11"/>
        <v>0.2994350282485876</v>
      </c>
      <c r="M64" s="31">
        <f t="shared" si="12"/>
        <v>35.5</v>
      </c>
      <c r="N64" s="64">
        <f t="shared" si="13"/>
        <v>82.6096</v>
      </c>
      <c r="O64" s="31">
        <f t="shared" si="14"/>
        <v>75.933</v>
      </c>
      <c r="P64" s="75" t="s">
        <v>68</v>
      </c>
      <c r="T64" s="60"/>
      <c r="V64" s="1"/>
    </row>
    <row r="65" spans="4:22" ht="12">
      <c r="D65" s="71">
        <v>40495</v>
      </c>
      <c r="E65" s="72">
        <f t="shared" si="15"/>
        <v>171.5</v>
      </c>
      <c r="F65" s="59">
        <v>225</v>
      </c>
      <c r="G65" s="70">
        <v>127</v>
      </c>
      <c r="H65" s="73">
        <f t="shared" si="7"/>
        <v>352</v>
      </c>
      <c r="I65" s="62">
        <f t="shared" si="8"/>
        <v>49.25947521865889</v>
      </c>
      <c r="J65" s="31">
        <f t="shared" si="9"/>
        <v>2.4305555555555554</v>
      </c>
      <c r="K65" s="31">
        <f t="shared" si="10"/>
        <v>4.419191919191919</v>
      </c>
      <c r="L65" s="74">
        <f t="shared" si="11"/>
        <v>0.36079545454545453</v>
      </c>
      <c r="M65" s="31">
        <f t="shared" si="12"/>
        <v>58.33333333333333</v>
      </c>
      <c r="N65" s="64">
        <f t="shared" si="13"/>
        <v>158.899</v>
      </c>
      <c r="O65" s="31">
        <f t="shared" si="14"/>
        <v>151.008</v>
      </c>
      <c r="P65" s="75" t="s">
        <v>68</v>
      </c>
      <c r="T65" s="60"/>
      <c r="V65" s="1"/>
    </row>
    <row r="66" spans="4:22" ht="12">
      <c r="D66" s="71">
        <v>40497</v>
      </c>
      <c r="E66" s="72">
        <f t="shared" si="15"/>
        <v>219.5</v>
      </c>
      <c r="F66" s="59">
        <v>284</v>
      </c>
      <c r="G66" s="70">
        <v>173</v>
      </c>
      <c r="H66" s="73">
        <f t="shared" si="7"/>
        <v>457</v>
      </c>
      <c r="I66" s="62">
        <f t="shared" si="8"/>
        <v>49.96810933940775</v>
      </c>
      <c r="J66" s="31">
        <f t="shared" si="9"/>
        <v>2.1875</v>
      </c>
      <c r="K66" s="31">
        <f t="shared" si="10"/>
        <v>3.977272727272727</v>
      </c>
      <c r="L66" s="74">
        <f t="shared" si="11"/>
        <v>0.3785557986870897</v>
      </c>
      <c r="M66" s="31">
        <f t="shared" si="12"/>
        <v>52.5</v>
      </c>
      <c r="N66" s="64">
        <f t="shared" si="13"/>
        <v>204.2736</v>
      </c>
      <c r="O66" s="31">
        <f t="shared" si="14"/>
        <v>196.05300000000003</v>
      </c>
      <c r="P66" s="75" t="s">
        <v>68</v>
      </c>
      <c r="T66" s="60"/>
      <c r="V66" s="1"/>
    </row>
    <row r="67" spans="4:20" ht="12">
      <c r="D67" s="71">
        <v>40498</v>
      </c>
      <c r="E67" s="72">
        <f t="shared" si="15"/>
        <v>243.5</v>
      </c>
      <c r="F67" s="59">
        <v>315</v>
      </c>
      <c r="G67" s="70">
        <v>195</v>
      </c>
      <c r="H67" s="73">
        <f t="shared" si="7"/>
        <v>510</v>
      </c>
      <c r="I67" s="62">
        <f t="shared" si="8"/>
        <v>50.266940451745384</v>
      </c>
      <c r="J67" s="31">
        <f t="shared" si="9"/>
        <v>2.2083333333333335</v>
      </c>
      <c r="K67" s="31">
        <f t="shared" si="10"/>
        <v>4.015151515151516</v>
      </c>
      <c r="L67" s="74">
        <f t="shared" si="11"/>
        <v>0.38235294117647056</v>
      </c>
      <c r="M67" s="31">
        <f t="shared" si="12"/>
        <v>53</v>
      </c>
      <c r="N67" s="64">
        <f t="shared" si="13"/>
        <v>227.481</v>
      </c>
      <c r="O67" s="31">
        <f t="shared" si="14"/>
        <v>218.79000000000002</v>
      </c>
      <c r="P67" s="75" t="s">
        <v>68</v>
      </c>
      <c r="T67" s="60"/>
    </row>
    <row r="68" spans="4:20" ht="12">
      <c r="D68" s="71">
        <v>40499</v>
      </c>
      <c r="E68" s="72">
        <f t="shared" si="15"/>
        <v>267.5</v>
      </c>
      <c r="F68" s="59">
        <v>349</v>
      </c>
      <c r="G68" s="70">
        <v>217</v>
      </c>
      <c r="H68" s="73">
        <f t="shared" si="7"/>
        <v>566</v>
      </c>
      <c r="I68" s="62">
        <f t="shared" si="8"/>
        <v>50.78130841121495</v>
      </c>
      <c r="J68" s="31">
        <f t="shared" si="9"/>
        <v>2.3333333333333335</v>
      </c>
      <c r="K68" s="31">
        <f t="shared" si="10"/>
        <v>4.242424242424243</v>
      </c>
      <c r="L68" s="74">
        <f t="shared" si="11"/>
        <v>0.3833922261484099</v>
      </c>
      <c r="M68" s="31">
        <f t="shared" si="12"/>
        <v>56</v>
      </c>
      <c r="N68" s="64">
        <f t="shared" si="13"/>
        <v>252.3126</v>
      </c>
      <c r="O68" s="31">
        <f t="shared" si="14"/>
        <v>242.81400000000002</v>
      </c>
      <c r="P68" s="75" t="s">
        <v>68</v>
      </c>
      <c r="T68" s="60"/>
    </row>
    <row r="69" spans="4:20" ht="12">
      <c r="D69" s="71">
        <v>40501</v>
      </c>
      <c r="E69" s="72">
        <f t="shared" si="15"/>
        <v>315.5</v>
      </c>
      <c r="F69" s="59">
        <v>421</v>
      </c>
      <c r="G69" s="70">
        <v>256</v>
      </c>
      <c r="H69" s="73">
        <f t="shared" si="7"/>
        <v>677</v>
      </c>
      <c r="I69" s="62">
        <f t="shared" si="8"/>
        <v>51.49920760697306</v>
      </c>
      <c r="J69" s="31">
        <f t="shared" si="9"/>
        <v>2.3125</v>
      </c>
      <c r="K69" s="31">
        <f t="shared" si="10"/>
        <v>4.204545454545454</v>
      </c>
      <c r="L69" s="74">
        <f t="shared" si="11"/>
        <v>0.37813884785819796</v>
      </c>
      <c r="M69" s="31">
        <f t="shared" si="12"/>
        <v>55.5</v>
      </c>
      <c r="N69" s="64">
        <f t="shared" si="13"/>
        <v>302.6814</v>
      </c>
      <c r="O69" s="31">
        <f t="shared" si="14"/>
        <v>290.43300000000005</v>
      </c>
      <c r="P69" s="75" t="s">
        <v>68</v>
      </c>
      <c r="T69" s="60"/>
    </row>
    <row r="70" spans="4:20" ht="12">
      <c r="D70" s="71">
        <v>40502</v>
      </c>
      <c r="E70" s="72">
        <f t="shared" si="15"/>
        <v>339.5</v>
      </c>
      <c r="F70" s="59">
        <v>463</v>
      </c>
      <c r="G70" s="70">
        <v>275</v>
      </c>
      <c r="H70" s="73">
        <f t="shared" si="7"/>
        <v>738</v>
      </c>
      <c r="I70" s="62">
        <f t="shared" si="8"/>
        <v>52.17083946980854</v>
      </c>
      <c r="J70" s="31">
        <f t="shared" si="9"/>
        <v>2.5416666666666665</v>
      </c>
      <c r="K70" s="31">
        <f t="shared" si="10"/>
        <v>4.621212121212121</v>
      </c>
      <c r="L70" s="74">
        <f t="shared" si="11"/>
        <v>0.37262872628726285</v>
      </c>
      <c r="M70" s="31">
        <f t="shared" si="12"/>
        <v>61</v>
      </c>
      <c r="N70" s="64">
        <f t="shared" si="13"/>
        <v>330.9682</v>
      </c>
      <c r="O70" s="31">
        <f t="shared" si="14"/>
        <v>316.60200000000003</v>
      </c>
      <c r="P70" s="75" t="s">
        <v>68</v>
      </c>
      <c r="T70" s="60"/>
    </row>
    <row r="71" spans="4:20" ht="12">
      <c r="D71" s="71">
        <v>40503</v>
      </c>
      <c r="E71" s="72">
        <f t="shared" si="15"/>
        <v>363.5</v>
      </c>
      <c r="F71" s="59">
        <v>503</v>
      </c>
      <c r="G71" s="70">
        <v>294</v>
      </c>
      <c r="H71" s="73">
        <f t="shared" si="7"/>
        <v>797</v>
      </c>
      <c r="I71" s="62">
        <f t="shared" si="8"/>
        <v>52.62173314993123</v>
      </c>
      <c r="J71" s="31">
        <f t="shared" si="9"/>
        <v>2.4583333333333335</v>
      </c>
      <c r="K71" s="31">
        <f t="shared" si="10"/>
        <v>4.46969696969697</v>
      </c>
      <c r="L71" s="74">
        <f t="shared" si="11"/>
        <v>0.36888331242158096</v>
      </c>
      <c r="M71" s="31">
        <f t="shared" si="12"/>
        <v>59</v>
      </c>
      <c r="N71" s="64">
        <f t="shared" si="13"/>
        <v>358.17220000000003</v>
      </c>
      <c r="O71" s="31">
        <f t="shared" si="14"/>
        <v>341.913</v>
      </c>
      <c r="P71" s="75" t="s">
        <v>68</v>
      </c>
      <c r="T71" s="60"/>
    </row>
    <row r="72" spans="4:20" ht="12">
      <c r="D72" s="71">
        <v>40504</v>
      </c>
      <c r="E72" s="72">
        <f t="shared" si="15"/>
        <v>387.5</v>
      </c>
      <c r="F72" s="59">
        <v>543</v>
      </c>
      <c r="G72" s="70">
        <v>322</v>
      </c>
      <c r="H72" s="73">
        <f t="shared" si="7"/>
        <v>865</v>
      </c>
      <c r="I72" s="62">
        <f t="shared" si="8"/>
        <v>53.5741935483871</v>
      </c>
      <c r="J72" s="31">
        <f t="shared" si="9"/>
        <v>2.8333333333333335</v>
      </c>
      <c r="K72" s="31">
        <f t="shared" si="10"/>
        <v>5.151515151515151</v>
      </c>
      <c r="L72" s="74">
        <f t="shared" si="11"/>
        <v>0.3722543352601156</v>
      </c>
      <c r="M72" s="31">
        <f t="shared" si="12"/>
        <v>68</v>
      </c>
      <c r="N72" s="64">
        <f t="shared" si="13"/>
        <v>388.00419999999997</v>
      </c>
      <c r="O72" s="31">
        <f t="shared" si="14"/>
        <v>371.08500000000004</v>
      </c>
      <c r="P72" s="75" t="s">
        <v>68</v>
      </c>
      <c r="T72" s="60"/>
    </row>
    <row r="73" spans="4:20" ht="12">
      <c r="D73" s="71">
        <v>40505</v>
      </c>
      <c r="E73" s="72">
        <f t="shared" si="15"/>
        <v>411.5</v>
      </c>
      <c r="F73" s="59">
        <v>593</v>
      </c>
      <c r="G73" s="70">
        <v>349</v>
      </c>
      <c r="H73" s="73">
        <f t="shared" si="7"/>
        <v>942</v>
      </c>
      <c r="I73" s="62">
        <f t="shared" si="8"/>
        <v>54.9404617253949</v>
      </c>
      <c r="J73" s="31">
        <f t="shared" si="9"/>
        <v>3.2083333333333335</v>
      </c>
      <c r="K73" s="31">
        <f t="shared" si="10"/>
        <v>5.833333333333334</v>
      </c>
      <c r="L73" s="74">
        <f t="shared" si="11"/>
        <v>0.37048832271762205</v>
      </c>
      <c r="M73" s="31">
        <f t="shared" si="12"/>
        <v>77</v>
      </c>
      <c r="N73" s="64">
        <f t="shared" si="13"/>
        <v>422.95820000000003</v>
      </c>
      <c r="O73" s="31">
        <f t="shared" si="14"/>
        <v>404.11800000000005</v>
      </c>
      <c r="P73" s="75" t="s">
        <v>68</v>
      </c>
      <c r="T73" s="60"/>
    </row>
    <row r="74" spans="4:20" ht="12">
      <c r="D74" s="71">
        <v>40506</v>
      </c>
      <c r="E74" s="72">
        <f t="shared" si="15"/>
        <v>435.5</v>
      </c>
      <c r="F74" s="59">
        <v>657</v>
      </c>
      <c r="G74" s="70">
        <v>379</v>
      </c>
      <c r="H74" s="73">
        <f t="shared" si="7"/>
        <v>1036</v>
      </c>
      <c r="I74" s="62">
        <f t="shared" si="8"/>
        <v>57.09299655568312</v>
      </c>
      <c r="J74" s="31">
        <f t="shared" si="9"/>
        <v>3.9166666666666665</v>
      </c>
      <c r="K74" s="31">
        <f t="shared" si="10"/>
        <v>7.121212121212121</v>
      </c>
      <c r="L74" s="74">
        <f t="shared" si="11"/>
        <v>0.3658301158301158</v>
      </c>
      <c r="M74" s="31">
        <f t="shared" si="12"/>
        <v>94</v>
      </c>
      <c r="N74" s="64">
        <f t="shared" si="13"/>
        <v>466.3678</v>
      </c>
      <c r="O74" s="31">
        <f t="shared" si="14"/>
        <v>444.4440000000001</v>
      </c>
      <c r="P74" s="75" t="s">
        <v>68</v>
      </c>
      <c r="T74" s="60"/>
    </row>
    <row r="75" spans="4:21" ht="12">
      <c r="D75" s="71">
        <v>40507</v>
      </c>
      <c r="E75" s="72">
        <f t="shared" si="15"/>
        <v>459.5</v>
      </c>
      <c r="F75" s="59">
        <v>719</v>
      </c>
      <c r="G75" s="70">
        <v>415</v>
      </c>
      <c r="H75" s="73">
        <f t="shared" si="7"/>
        <v>1134</v>
      </c>
      <c r="I75" s="62">
        <f t="shared" si="8"/>
        <v>59.22959738846572</v>
      </c>
      <c r="J75" s="31">
        <f t="shared" si="9"/>
        <v>4.083333333333333</v>
      </c>
      <c r="K75" s="31">
        <f t="shared" si="10"/>
        <v>7.424242424242424</v>
      </c>
      <c r="L75" s="74">
        <f t="shared" si="11"/>
        <v>0.36596119929453264</v>
      </c>
      <c r="M75" s="31">
        <f t="shared" si="12"/>
        <v>98</v>
      </c>
      <c r="N75" s="64">
        <f t="shared" si="13"/>
        <v>510.4466</v>
      </c>
      <c r="O75" s="31">
        <f t="shared" si="14"/>
        <v>486.48600000000005</v>
      </c>
      <c r="P75" s="75" t="s">
        <v>68</v>
      </c>
      <c r="R75" s="76">
        <v>2846</v>
      </c>
      <c r="S75" s="77">
        <f aca="true" t="shared" si="16" ref="S75:S126">R75-R74</f>
        <v>2846</v>
      </c>
      <c r="T75" s="78">
        <f aca="true" t="shared" si="17" ref="T75:T127">S75/(D75-D74)</f>
        <v>2846</v>
      </c>
      <c r="U75" s="78">
        <f aca="true" t="shared" si="18" ref="U75:U132">(R75-$R$62)/(D75-$D$62)</f>
        <v>30.31578947368421</v>
      </c>
    </row>
    <row r="76" spans="4:22" ht="12">
      <c r="D76" s="71">
        <v>40508</v>
      </c>
      <c r="E76" s="72">
        <f t="shared" si="15"/>
        <v>483.5</v>
      </c>
      <c r="F76" s="59">
        <v>786</v>
      </c>
      <c r="G76" s="70">
        <v>451</v>
      </c>
      <c r="H76" s="73">
        <f t="shared" si="7"/>
        <v>1237</v>
      </c>
      <c r="I76" s="62">
        <f t="shared" si="8"/>
        <v>61.40227507755946</v>
      </c>
      <c r="J76" s="31">
        <f t="shared" si="9"/>
        <v>4.291666666666667</v>
      </c>
      <c r="K76" s="31">
        <f t="shared" si="10"/>
        <v>7.803030303030304</v>
      </c>
      <c r="L76" s="74">
        <f t="shared" si="11"/>
        <v>0.36459175424413903</v>
      </c>
      <c r="M76" s="31">
        <f t="shared" si="12"/>
        <v>103</v>
      </c>
      <c r="N76" s="64">
        <f t="shared" si="13"/>
        <v>557.2324</v>
      </c>
      <c r="O76" s="31">
        <f t="shared" si="14"/>
        <v>530.6730000000001</v>
      </c>
      <c r="P76" s="75" t="s">
        <v>68</v>
      </c>
      <c r="R76" s="11">
        <v>2881</v>
      </c>
      <c r="S76" s="11">
        <f t="shared" si="16"/>
        <v>35</v>
      </c>
      <c r="T76" s="67">
        <f t="shared" si="17"/>
        <v>35</v>
      </c>
      <c r="U76" s="67">
        <f t="shared" si="18"/>
        <v>30.55</v>
      </c>
      <c r="V76" s="79">
        <f aca="true" t="shared" si="19" ref="V76:V107">(R76-$R$62)*$K$3</f>
        <v>178.41200000000003</v>
      </c>
    </row>
    <row r="77" spans="4:22" ht="12">
      <c r="D77" s="71">
        <v>40509</v>
      </c>
      <c r="E77" s="72">
        <f t="shared" si="15"/>
        <v>507.5</v>
      </c>
      <c r="F77" s="59">
        <v>872</v>
      </c>
      <c r="G77" s="70">
        <v>497</v>
      </c>
      <c r="H77" s="73">
        <f t="shared" si="7"/>
        <v>1369</v>
      </c>
      <c r="I77" s="62">
        <f t="shared" si="8"/>
        <v>64.7408866995074</v>
      </c>
      <c r="J77" s="31">
        <f t="shared" si="9"/>
        <v>5.5</v>
      </c>
      <c r="K77" s="31">
        <f t="shared" si="10"/>
        <v>10</v>
      </c>
      <c r="L77" s="74">
        <f t="shared" si="11"/>
        <v>0.36303871439006574</v>
      </c>
      <c r="M77" s="31">
        <f t="shared" si="12"/>
        <v>132</v>
      </c>
      <c r="N77" s="64">
        <f t="shared" si="13"/>
        <v>617.2248</v>
      </c>
      <c r="O77" s="31">
        <f t="shared" si="14"/>
        <v>587.301</v>
      </c>
      <c r="P77" s="75" t="s">
        <v>68</v>
      </c>
      <c r="R77" s="11">
        <v>2915</v>
      </c>
      <c r="S77" s="11">
        <f t="shared" si="16"/>
        <v>34</v>
      </c>
      <c r="T77" s="67">
        <f t="shared" si="17"/>
        <v>34</v>
      </c>
      <c r="U77" s="67">
        <f t="shared" si="18"/>
        <v>30.714285714285715</v>
      </c>
      <c r="V77" s="79">
        <f t="shared" si="19"/>
        <v>188.34000000000003</v>
      </c>
    </row>
    <row r="78" spans="4:22" ht="12">
      <c r="D78" s="71">
        <v>40510</v>
      </c>
      <c r="E78" s="72">
        <f t="shared" si="15"/>
        <v>531.5</v>
      </c>
      <c r="F78" s="59">
        <v>962</v>
      </c>
      <c r="G78" s="70">
        <v>557</v>
      </c>
      <c r="H78" s="73">
        <f t="shared" si="7"/>
        <v>1519</v>
      </c>
      <c r="I78" s="62">
        <f t="shared" si="8"/>
        <v>68.59078080903105</v>
      </c>
      <c r="J78" s="31">
        <f t="shared" si="9"/>
        <v>6.25</v>
      </c>
      <c r="K78" s="31">
        <f t="shared" si="10"/>
        <v>11.363636363636363</v>
      </c>
      <c r="L78" s="74">
        <f t="shared" si="11"/>
        <v>0.3666886109282423</v>
      </c>
      <c r="M78" s="31">
        <f t="shared" si="12"/>
        <v>150</v>
      </c>
      <c r="N78" s="64">
        <f t="shared" si="13"/>
        <v>683.4708</v>
      </c>
      <c r="O78" s="31">
        <f t="shared" si="14"/>
        <v>651.6510000000001</v>
      </c>
      <c r="P78" s="75" t="s">
        <v>68</v>
      </c>
      <c r="R78" s="11">
        <v>2955</v>
      </c>
      <c r="S78" s="11">
        <f t="shared" si="16"/>
        <v>40</v>
      </c>
      <c r="T78" s="67">
        <f t="shared" si="17"/>
        <v>40</v>
      </c>
      <c r="U78" s="67">
        <f t="shared" si="18"/>
        <v>31.136363636363637</v>
      </c>
      <c r="V78" s="79">
        <f t="shared" si="19"/>
        <v>200.02000000000004</v>
      </c>
    </row>
    <row r="79" spans="4:22" ht="12">
      <c r="D79" s="71">
        <v>40511</v>
      </c>
      <c r="E79" s="72">
        <f t="shared" si="15"/>
        <v>555.5</v>
      </c>
      <c r="F79" s="59">
        <v>1050</v>
      </c>
      <c r="G79" s="70">
        <v>618</v>
      </c>
      <c r="H79" s="73">
        <f t="shared" si="7"/>
        <v>1668</v>
      </c>
      <c r="I79" s="62">
        <f t="shared" si="8"/>
        <v>72.06480648064807</v>
      </c>
      <c r="J79" s="31">
        <f t="shared" si="9"/>
        <v>6.208333333333333</v>
      </c>
      <c r="K79" s="31">
        <f t="shared" si="10"/>
        <v>11.287878787878787</v>
      </c>
      <c r="L79" s="74">
        <f t="shared" si="11"/>
        <v>0.37050359712230213</v>
      </c>
      <c r="M79" s="31">
        <f t="shared" si="12"/>
        <v>149</v>
      </c>
      <c r="N79" s="64">
        <f t="shared" si="13"/>
        <v>748.926</v>
      </c>
      <c r="O79" s="31">
        <f t="shared" si="14"/>
        <v>715.5720000000001</v>
      </c>
      <c r="P79" s="75" t="s">
        <v>68</v>
      </c>
      <c r="R79" s="11">
        <v>2983</v>
      </c>
      <c r="S79" s="11">
        <f t="shared" si="16"/>
        <v>28</v>
      </c>
      <c r="T79" s="67">
        <f t="shared" si="17"/>
        <v>28</v>
      </c>
      <c r="U79" s="67">
        <f t="shared" si="18"/>
        <v>31</v>
      </c>
      <c r="V79" s="79">
        <f t="shared" si="19"/>
        <v>208.19600000000003</v>
      </c>
    </row>
    <row r="80" spans="4:22" ht="12">
      <c r="D80" s="71">
        <v>40512</v>
      </c>
      <c r="E80" s="72">
        <f t="shared" si="15"/>
        <v>579.5</v>
      </c>
      <c r="F80" s="59">
        <v>1165</v>
      </c>
      <c r="G80" s="70">
        <v>682</v>
      </c>
      <c r="H80" s="73">
        <f t="shared" si="7"/>
        <v>1847</v>
      </c>
      <c r="I80" s="62">
        <f t="shared" si="8"/>
        <v>76.49352890422779</v>
      </c>
      <c r="J80" s="31">
        <f t="shared" si="9"/>
        <v>7.458333333333333</v>
      </c>
      <c r="K80" s="31">
        <f t="shared" si="10"/>
        <v>13.56060606060606</v>
      </c>
      <c r="L80" s="74">
        <f t="shared" si="11"/>
        <v>0.36924742826204654</v>
      </c>
      <c r="M80" s="31">
        <f t="shared" si="12"/>
        <v>179</v>
      </c>
      <c r="N80" s="64">
        <f t="shared" si="13"/>
        <v>829.875</v>
      </c>
      <c r="O80" s="31">
        <f t="shared" si="14"/>
        <v>792.363</v>
      </c>
      <c r="P80" s="75" t="s">
        <v>68</v>
      </c>
      <c r="R80" s="11">
        <v>3011</v>
      </c>
      <c r="S80" s="11">
        <f t="shared" si="16"/>
        <v>28</v>
      </c>
      <c r="T80" s="67">
        <f t="shared" si="17"/>
        <v>28</v>
      </c>
      <c r="U80" s="67">
        <f t="shared" si="18"/>
        <v>30.875</v>
      </c>
      <c r="V80" s="79">
        <f t="shared" si="19"/>
        <v>216.372</v>
      </c>
    </row>
    <row r="81" spans="4:22" ht="12">
      <c r="D81" s="71">
        <v>40513</v>
      </c>
      <c r="E81" s="72">
        <f t="shared" si="15"/>
        <v>603.5</v>
      </c>
      <c r="F81" s="59">
        <v>1305</v>
      </c>
      <c r="G81" s="70">
        <v>764</v>
      </c>
      <c r="H81" s="73">
        <f t="shared" si="7"/>
        <v>2069</v>
      </c>
      <c r="I81" s="62">
        <f t="shared" si="8"/>
        <v>82.28003314001657</v>
      </c>
      <c r="J81" s="31">
        <f t="shared" si="9"/>
        <v>9.25</v>
      </c>
      <c r="K81" s="31">
        <f t="shared" si="10"/>
        <v>16.818181818181817</v>
      </c>
      <c r="L81" s="74">
        <f t="shared" si="11"/>
        <v>0.36926051232479457</v>
      </c>
      <c r="M81" s="31">
        <f t="shared" si="12"/>
        <v>222</v>
      </c>
      <c r="N81" s="64">
        <f t="shared" si="13"/>
        <v>929.615</v>
      </c>
      <c r="O81" s="31">
        <f t="shared" si="14"/>
        <v>887.6010000000001</v>
      </c>
      <c r="P81" s="75" t="s">
        <v>68</v>
      </c>
      <c r="R81" s="11">
        <v>3047</v>
      </c>
      <c r="S81" s="11">
        <f t="shared" si="16"/>
        <v>36</v>
      </c>
      <c r="T81" s="67">
        <f t="shared" si="17"/>
        <v>36</v>
      </c>
      <c r="U81" s="67">
        <f t="shared" si="18"/>
        <v>31.08</v>
      </c>
      <c r="V81" s="79">
        <f t="shared" si="19"/>
        <v>226.88400000000004</v>
      </c>
    </row>
    <row r="82" spans="4:22" ht="12">
      <c r="D82" s="71">
        <v>40514</v>
      </c>
      <c r="E82" s="72">
        <f t="shared" si="15"/>
        <v>627.5</v>
      </c>
      <c r="F82" s="59">
        <v>1412</v>
      </c>
      <c r="G82" s="70">
        <v>836</v>
      </c>
      <c r="H82" s="73">
        <f t="shared" si="7"/>
        <v>2248</v>
      </c>
      <c r="I82" s="62">
        <f t="shared" si="8"/>
        <v>85.9792828685259</v>
      </c>
      <c r="J82" s="31">
        <f t="shared" si="9"/>
        <v>7.458333333333333</v>
      </c>
      <c r="K82" s="31">
        <f t="shared" si="10"/>
        <v>13.56060606060606</v>
      </c>
      <c r="L82" s="74">
        <f t="shared" si="11"/>
        <v>0.3718861209964413</v>
      </c>
      <c r="M82" s="31">
        <f t="shared" si="12"/>
        <v>179</v>
      </c>
      <c r="N82" s="64">
        <f t="shared" si="13"/>
        <v>1008.5688</v>
      </c>
      <c r="O82" s="31">
        <f t="shared" si="14"/>
        <v>964.392</v>
      </c>
      <c r="P82" s="75" t="s">
        <v>68</v>
      </c>
      <c r="R82" s="11">
        <v>3089</v>
      </c>
      <c r="S82" s="11">
        <f t="shared" si="16"/>
        <v>42</v>
      </c>
      <c r="T82" s="67">
        <f t="shared" si="17"/>
        <v>42</v>
      </c>
      <c r="U82" s="67">
        <f t="shared" si="18"/>
        <v>31.5</v>
      </c>
      <c r="V82" s="79">
        <f t="shared" si="19"/>
        <v>239.14800000000002</v>
      </c>
    </row>
    <row r="83" spans="4:22" ht="12">
      <c r="D83" s="71">
        <v>40516</v>
      </c>
      <c r="E83" s="72">
        <f t="shared" si="15"/>
        <v>675.5</v>
      </c>
      <c r="F83" s="59">
        <v>1619</v>
      </c>
      <c r="G83" s="70">
        <v>992</v>
      </c>
      <c r="H83" s="73">
        <f t="shared" si="7"/>
        <v>2611</v>
      </c>
      <c r="I83" s="62">
        <f t="shared" si="8"/>
        <v>92.76683937823834</v>
      </c>
      <c r="J83" s="31">
        <f t="shared" si="9"/>
        <v>7.5625</v>
      </c>
      <c r="K83" s="31">
        <f t="shared" si="10"/>
        <v>13.75</v>
      </c>
      <c r="L83" s="74">
        <f t="shared" si="11"/>
        <v>0.3799310608962084</v>
      </c>
      <c r="M83" s="31">
        <f t="shared" si="12"/>
        <v>181.5</v>
      </c>
      <c r="N83" s="64">
        <f t="shared" si="13"/>
        <v>1166.1906000000001</v>
      </c>
      <c r="O83" s="31">
        <f t="shared" si="14"/>
        <v>1120.1190000000001</v>
      </c>
      <c r="P83" s="75" t="s">
        <v>68</v>
      </c>
      <c r="R83" s="11">
        <v>3157</v>
      </c>
      <c r="S83" s="11">
        <f t="shared" si="16"/>
        <v>68</v>
      </c>
      <c r="T83" s="67">
        <f t="shared" si="17"/>
        <v>34</v>
      </c>
      <c r="U83" s="67">
        <f t="shared" si="18"/>
        <v>31.678571428571427</v>
      </c>
      <c r="V83" s="79">
        <f t="shared" si="19"/>
        <v>259.004</v>
      </c>
    </row>
    <row r="84" spans="4:22" ht="12">
      <c r="D84" s="71">
        <v>40517</v>
      </c>
      <c r="E84" s="72">
        <f t="shared" si="15"/>
        <v>699.5</v>
      </c>
      <c r="F84" s="59">
        <v>1712</v>
      </c>
      <c r="G84" s="70">
        <v>1076</v>
      </c>
      <c r="H84" s="73">
        <f t="shared" si="7"/>
        <v>2788</v>
      </c>
      <c r="I84" s="62">
        <f t="shared" si="8"/>
        <v>95.65689778413153</v>
      </c>
      <c r="J84" s="31">
        <f t="shared" si="9"/>
        <v>7.375</v>
      </c>
      <c r="K84" s="31">
        <f t="shared" si="10"/>
        <v>13.409090909090908</v>
      </c>
      <c r="L84" s="74">
        <f t="shared" si="11"/>
        <v>0.38593974175035867</v>
      </c>
      <c r="M84" s="31">
        <f t="shared" si="12"/>
        <v>177</v>
      </c>
      <c r="N84" s="64">
        <f t="shared" si="13"/>
        <v>1241.0688</v>
      </c>
      <c r="O84" s="31">
        <f t="shared" si="14"/>
        <v>1196.0520000000001</v>
      </c>
      <c r="P84" s="75" t="s">
        <v>68</v>
      </c>
      <c r="R84" s="11">
        <v>3184</v>
      </c>
      <c r="S84" s="11">
        <f t="shared" si="16"/>
        <v>27</v>
      </c>
      <c r="T84" s="67">
        <f t="shared" si="17"/>
        <v>27</v>
      </c>
      <c r="U84" s="67">
        <f t="shared" si="18"/>
        <v>31.517241379310345</v>
      </c>
      <c r="V84" s="79">
        <f t="shared" si="19"/>
        <v>266.88800000000003</v>
      </c>
    </row>
    <row r="85" spans="4:22" ht="12">
      <c r="D85" s="68">
        <v>40518</v>
      </c>
      <c r="E85" s="72">
        <f t="shared" si="15"/>
        <v>723.5</v>
      </c>
      <c r="F85" s="59">
        <v>1802</v>
      </c>
      <c r="G85" s="70">
        <v>1139</v>
      </c>
      <c r="H85" s="73">
        <f t="shared" si="7"/>
        <v>2941</v>
      </c>
      <c r="I85" s="62">
        <f t="shared" si="8"/>
        <v>97.55908776779543</v>
      </c>
      <c r="J85" s="31">
        <f t="shared" si="9"/>
        <v>6.375</v>
      </c>
      <c r="K85" s="31">
        <f t="shared" si="10"/>
        <v>11.590909090909092</v>
      </c>
      <c r="L85" s="74">
        <f t="shared" si="11"/>
        <v>0.3872832369942196</v>
      </c>
      <c r="M85" s="31">
        <f t="shared" si="12"/>
        <v>153</v>
      </c>
      <c r="N85" s="80">
        <f t="shared" si="13"/>
        <v>1308.1908</v>
      </c>
      <c r="O85" s="31">
        <f t="shared" si="14"/>
        <v>1261.689</v>
      </c>
      <c r="P85" s="75" t="s">
        <v>69</v>
      </c>
      <c r="Q85" s="31">
        <f>N85</f>
        <v>1308.1908</v>
      </c>
      <c r="R85" s="77">
        <v>3213</v>
      </c>
      <c r="S85" s="11">
        <f t="shared" si="16"/>
        <v>29</v>
      </c>
      <c r="T85" s="67">
        <f t="shared" si="17"/>
        <v>29</v>
      </c>
      <c r="U85" s="67">
        <f t="shared" si="18"/>
        <v>31.433333333333334</v>
      </c>
      <c r="V85" s="78">
        <f t="shared" si="19"/>
        <v>275.35600000000005</v>
      </c>
    </row>
    <row r="86" spans="4:22" ht="12">
      <c r="D86" s="71">
        <v>40519</v>
      </c>
      <c r="E86" s="72">
        <f t="shared" si="15"/>
        <v>747.5</v>
      </c>
      <c r="F86" s="59">
        <v>1885</v>
      </c>
      <c r="G86" s="70">
        <v>1199</v>
      </c>
      <c r="H86" s="73">
        <f t="shared" si="7"/>
        <v>3084</v>
      </c>
      <c r="I86" s="62">
        <f t="shared" si="8"/>
        <v>99.0180602006689</v>
      </c>
      <c r="J86" s="31">
        <f t="shared" si="9"/>
        <v>5.958333333333333</v>
      </c>
      <c r="K86" s="31">
        <f t="shared" si="10"/>
        <v>10.833333333333332</v>
      </c>
      <c r="L86" s="74">
        <f t="shared" si="11"/>
        <v>0.38878080415045396</v>
      </c>
      <c r="M86" s="31">
        <f t="shared" si="12"/>
        <v>143</v>
      </c>
      <c r="N86" s="64">
        <f t="shared" si="13"/>
        <v>1370.647</v>
      </c>
      <c r="O86" s="31">
        <f t="shared" si="14"/>
        <v>1323.036</v>
      </c>
      <c r="P86" s="75" t="s">
        <v>69</v>
      </c>
      <c r="R86" s="11">
        <v>3233</v>
      </c>
      <c r="S86" s="11">
        <f t="shared" si="16"/>
        <v>20</v>
      </c>
      <c r="T86" s="67">
        <f t="shared" si="17"/>
        <v>20</v>
      </c>
      <c r="U86" s="67">
        <f t="shared" si="18"/>
        <v>31.06451612903226</v>
      </c>
      <c r="V86" s="79">
        <f t="shared" si="19"/>
        <v>281.196</v>
      </c>
    </row>
    <row r="87" spans="4:22" ht="12">
      <c r="D87" s="71">
        <v>40520</v>
      </c>
      <c r="E87" s="72">
        <f t="shared" si="15"/>
        <v>771.5</v>
      </c>
      <c r="F87" s="59">
        <v>1964</v>
      </c>
      <c r="G87" s="70">
        <v>1239</v>
      </c>
      <c r="H87" s="73">
        <f t="shared" si="7"/>
        <v>3203</v>
      </c>
      <c r="I87" s="62">
        <f t="shared" si="8"/>
        <v>99.63966299416722</v>
      </c>
      <c r="J87" s="31">
        <f t="shared" si="9"/>
        <v>4.958333333333333</v>
      </c>
      <c r="K87" s="31">
        <f t="shared" si="10"/>
        <v>9.015151515151514</v>
      </c>
      <c r="L87" s="74">
        <f t="shared" si="11"/>
        <v>0.3868248517015298</v>
      </c>
      <c r="M87" s="31">
        <f t="shared" si="12"/>
        <v>119</v>
      </c>
      <c r="N87" s="64">
        <f t="shared" si="13"/>
        <v>1425.0976</v>
      </c>
      <c r="O87" s="31">
        <f t="shared" si="14"/>
        <v>1374.0870000000002</v>
      </c>
      <c r="P87" s="75" t="s">
        <v>69</v>
      </c>
      <c r="R87" s="11">
        <v>3263</v>
      </c>
      <c r="S87" s="11">
        <f t="shared" si="16"/>
        <v>30</v>
      </c>
      <c r="T87" s="67">
        <f t="shared" si="17"/>
        <v>30</v>
      </c>
      <c r="U87" s="67">
        <f t="shared" si="18"/>
        <v>31.03125</v>
      </c>
      <c r="V87" s="79">
        <f t="shared" si="19"/>
        <v>289.956</v>
      </c>
    </row>
    <row r="88" spans="4:22" ht="12">
      <c r="D88" s="71">
        <v>40521</v>
      </c>
      <c r="E88" s="72">
        <f t="shared" si="15"/>
        <v>795.5</v>
      </c>
      <c r="F88" s="59">
        <v>2040</v>
      </c>
      <c r="G88" s="70">
        <v>1276</v>
      </c>
      <c r="H88" s="73">
        <f t="shared" si="7"/>
        <v>3316</v>
      </c>
      <c r="I88" s="62">
        <f t="shared" si="8"/>
        <v>100.04274041483345</v>
      </c>
      <c r="J88" s="31">
        <f t="shared" si="9"/>
        <v>4.708333333333333</v>
      </c>
      <c r="K88" s="31">
        <f t="shared" si="10"/>
        <v>8.56060606060606</v>
      </c>
      <c r="L88" s="74">
        <f t="shared" si="11"/>
        <v>0.3848009650180941</v>
      </c>
      <c r="M88" s="31">
        <f t="shared" si="12"/>
        <v>113</v>
      </c>
      <c r="N88" s="64">
        <f t="shared" si="13"/>
        <v>1477.048</v>
      </c>
      <c r="O88" s="31">
        <f t="shared" si="14"/>
        <v>1422.564</v>
      </c>
      <c r="P88" s="75" t="s">
        <v>69</v>
      </c>
      <c r="R88" s="11">
        <v>3295</v>
      </c>
      <c r="S88" s="11">
        <f t="shared" si="16"/>
        <v>32</v>
      </c>
      <c r="T88" s="67">
        <f t="shared" si="17"/>
        <v>32</v>
      </c>
      <c r="U88" s="67">
        <f t="shared" si="18"/>
        <v>31.060606060606062</v>
      </c>
      <c r="V88" s="79">
        <f t="shared" si="19"/>
        <v>299.3</v>
      </c>
    </row>
    <row r="89" spans="4:22" ht="12">
      <c r="D89" s="71">
        <v>40522</v>
      </c>
      <c r="E89" s="72">
        <f t="shared" si="15"/>
        <v>819.5</v>
      </c>
      <c r="F89" s="59">
        <v>2126</v>
      </c>
      <c r="G89" s="70">
        <v>1323</v>
      </c>
      <c r="H89" s="73">
        <f t="shared" si="7"/>
        <v>3449</v>
      </c>
      <c r="I89" s="62">
        <f t="shared" si="8"/>
        <v>101.00793166564979</v>
      </c>
      <c r="J89" s="31">
        <f t="shared" si="9"/>
        <v>5.541666666666667</v>
      </c>
      <c r="K89" s="31">
        <f t="shared" si="10"/>
        <v>10.075757575757576</v>
      </c>
      <c r="L89" s="74">
        <f t="shared" si="11"/>
        <v>0.3835894462162946</v>
      </c>
      <c r="M89" s="31">
        <f t="shared" si="12"/>
        <v>133</v>
      </c>
      <c r="N89" s="64">
        <f t="shared" si="13"/>
        <v>1537.3324</v>
      </c>
      <c r="O89" s="31">
        <f t="shared" si="14"/>
        <v>1479.621</v>
      </c>
      <c r="P89" s="75" t="s">
        <v>69</v>
      </c>
      <c r="R89" s="11">
        <v>3340</v>
      </c>
      <c r="S89" s="11">
        <f t="shared" si="16"/>
        <v>45</v>
      </c>
      <c r="T89" s="67">
        <f t="shared" si="17"/>
        <v>45</v>
      </c>
      <c r="U89" s="67">
        <f t="shared" si="18"/>
        <v>31.470588235294116</v>
      </c>
      <c r="V89" s="79">
        <f t="shared" si="19"/>
        <v>312.44000000000005</v>
      </c>
    </row>
    <row r="90" spans="4:22" ht="12">
      <c r="D90" s="71">
        <v>40524</v>
      </c>
      <c r="E90" s="72">
        <f t="shared" si="15"/>
        <v>867.5</v>
      </c>
      <c r="F90" s="59">
        <v>2308</v>
      </c>
      <c r="G90" s="70">
        <v>1430</v>
      </c>
      <c r="H90" s="73">
        <f t="shared" si="7"/>
        <v>3738</v>
      </c>
      <c r="I90" s="62">
        <f t="shared" si="8"/>
        <v>103.41440922190202</v>
      </c>
      <c r="J90" s="31">
        <f t="shared" si="9"/>
        <v>6.020833333333333</v>
      </c>
      <c r="K90" s="31">
        <f t="shared" si="10"/>
        <v>10.946969696969697</v>
      </c>
      <c r="L90" s="74">
        <f t="shared" si="11"/>
        <v>0.3825575173889781</v>
      </c>
      <c r="M90" s="31">
        <f t="shared" si="12"/>
        <v>144.5</v>
      </c>
      <c r="N90" s="64">
        <f t="shared" si="13"/>
        <v>1667.1111999999998</v>
      </c>
      <c r="O90" s="31">
        <f t="shared" si="14"/>
        <v>1603.602</v>
      </c>
      <c r="P90" s="75" t="s">
        <v>69</v>
      </c>
      <c r="R90" s="11">
        <v>3411</v>
      </c>
      <c r="S90" s="11">
        <f t="shared" si="16"/>
        <v>71</v>
      </c>
      <c r="T90" s="67">
        <f t="shared" si="17"/>
        <v>35.5</v>
      </c>
      <c r="U90" s="67">
        <f t="shared" si="18"/>
        <v>31.694444444444443</v>
      </c>
      <c r="V90" s="79">
        <f t="shared" si="19"/>
        <v>333.172</v>
      </c>
    </row>
    <row r="91" spans="4:22" ht="12">
      <c r="D91" s="71">
        <v>40525</v>
      </c>
      <c r="E91" s="72">
        <f t="shared" si="15"/>
        <v>891.5</v>
      </c>
      <c r="F91" s="59">
        <v>2400</v>
      </c>
      <c r="G91" s="70">
        <v>1474</v>
      </c>
      <c r="H91" s="73">
        <f t="shared" si="7"/>
        <v>3874</v>
      </c>
      <c r="I91" s="62">
        <f t="shared" si="8"/>
        <v>104.29164329781267</v>
      </c>
      <c r="J91" s="31">
        <f t="shared" si="9"/>
        <v>5.666666666666667</v>
      </c>
      <c r="K91" s="31">
        <f t="shared" si="10"/>
        <v>10.303030303030303</v>
      </c>
      <c r="L91" s="74">
        <f t="shared" si="11"/>
        <v>0.38048528652555497</v>
      </c>
      <c r="M91" s="31">
        <f t="shared" si="12"/>
        <v>136</v>
      </c>
      <c r="N91" s="64">
        <f t="shared" si="13"/>
        <v>1729.768</v>
      </c>
      <c r="O91" s="31">
        <f t="shared" si="14"/>
        <v>1661.9460000000001</v>
      </c>
      <c r="P91" s="75" t="s">
        <v>69</v>
      </c>
      <c r="R91" s="11">
        <v>3448</v>
      </c>
      <c r="S91" s="11">
        <f t="shared" si="16"/>
        <v>37</v>
      </c>
      <c r="T91" s="67">
        <f t="shared" si="17"/>
        <v>37</v>
      </c>
      <c r="U91" s="67">
        <f t="shared" si="18"/>
        <v>31.83783783783784</v>
      </c>
      <c r="V91" s="79">
        <f t="shared" si="19"/>
        <v>343.97600000000006</v>
      </c>
    </row>
    <row r="92" spans="4:22" ht="12">
      <c r="D92" s="71">
        <v>40526</v>
      </c>
      <c r="E92" s="72">
        <f t="shared" si="15"/>
        <v>915.5</v>
      </c>
      <c r="F92" s="59">
        <v>2500</v>
      </c>
      <c r="G92" s="70">
        <v>1528</v>
      </c>
      <c r="H92" s="73">
        <f t="shared" si="7"/>
        <v>4028</v>
      </c>
      <c r="I92" s="62">
        <f t="shared" si="8"/>
        <v>105.59475696340797</v>
      </c>
      <c r="J92" s="31">
        <f t="shared" si="9"/>
        <v>6.416666666666667</v>
      </c>
      <c r="K92" s="31">
        <f t="shared" si="10"/>
        <v>11.666666666666668</v>
      </c>
      <c r="L92" s="74">
        <f t="shared" si="11"/>
        <v>0.37934458788480635</v>
      </c>
      <c r="M92" s="31">
        <f t="shared" si="12"/>
        <v>154</v>
      </c>
      <c r="N92" s="64">
        <f t="shared" si="13"/>
        <v>1799.676</v>
      </c>
      <c r="O92" s="31">
        <f t="shared" si="14"/>
        <v>1728.0120000000002</v>
      </c>
      <c r="P92" s="75" t="s">
        <v>69</v>
      </c>
      <c r="R92" s="11">
        <v>3480</v>
      </c>
      <c r="S92" s="11">
        <f t="shared" si="16"/>
        <v>32</v>
      </c>
      <c r="T92" s="67">
        <f t="shared" si="17"/>
        <v>32</v>
      </c>
      <c r="U92" s="67">
        <f t="shared" si="18"/>
        <v>31.842105263157894</v>
      </c>
      <c r="V92" s="79">
        <f t="shared" si="19"/>
        <v>353.32000000000005</v>
      </c>
    </row>
    <row r="93" spans="4:22" ht="12">
      <c r="D93" s="71">
        <v>40527</v>
      </c>
      <c r="E93" s="72">
        <f t="shared" si="15"/>
        <v>939.5</v>
      </c>
      <c r="F93" s="59">
        <v>2600</v>
      </c>
      <c r="G93" s="70">
        <v>1595</v>
      </c>
      <c r="H93" s="73">
        <f t="shared" si="7"/>
        <v>4195</v>
      </c>
      <c r="I93" s="62">
        <f t="shared" si="8"/>
        <v>107.16338477913784</v>
      </c>
      <c r="J93" s="31">
        <f t="shared" si="9"/>
        <v>6.958333333333333</v>
      </c>
      <c r="K93" s="31">
        <f t="shared" si="10"/>
        <v>12.65151515151515</v>
      </c>
      <c r="L93" s="74">
        <f t="shared" si="11"/>
        <v>0.3802145411203814</v>
      </c>
      <c r="M93" s="31">
        <f t="shared" si="12"/>
        <v>167</v>
      </c>
      <c r="N93" s="64">
        <f t="shared" si="13"/>
        <v>1873.3799999999999</v>
      </c>
      <c r="O93" s="31">
        <f t="shared" si="14"/>
        <v>1799.6550000000002</v>
      </c>
      <c r="P93" s="75" t="s">
        <v>69</v>
      </c>
      <c r="R93" s="11">
        <v>3513</v>
      </c>
      <c r="S93" s="11">
        <f t="shared" si="16"/>
        <v>33</v>
      </c>
      <c r="T93" s="67">
        <f t="shared" si="17"/>
        <v>33</v>
      </c>
      <c r="U93" s="67">
        <f t="shared" si="18"/>
        <v>31.871794871794872</v>
      </c>
      <c r="V93" s="79">
        <f t="shared" si="19"/>
        <v>362.9560000000001</v>
      </c>
    </row>
    <row r="94" spans="4:22" ht="12">
      <c r="D94" s="71">
        <v>40528</v>
      </c>
      <c r="E94" s="72">
        <f t="shared" si="15"/>
        <v>963.5</v>
      </c>
      <c r="F94" s="59">
        <v>2754</v>
      </c>
      <c r="G94" s="70">
        <v>1680</v>
      </c>
      <c r="H94" s="73">
        <f t="shared" si="7"/>
        <v>4434</v>
      </c>
      <c r="I94" s="62">
        <f t="shared" si="8"/>
        <v>110.44732745199792</v>
      </c>
      <c r="J94" s="31">
        <f t="shared" si="9"/>
        <v>9.958333333333334</v>
      </c>
      <c r="K94" s="31">
        <f t="shared" si="10"/>
        <v>18.106060606060606</v>
      </c>
      <c r="L94" s="74">
        <f t="shared" si="11"/>
        <v>0.37889039242219213</v>
      </c>
      <c r="M94" s="31">
        <f t="shared" si="12"/>
        <v>239</v>
      </c>
      <c r="N94" s="64">
        <f t="shared" si="13"/>
        <v>1981.5756000000001</v>
      </c>
      <c r="O94" s="31">
        <f t="shared" si="14"/>
        <v>1902.1860000000001</v>
      </c>
      <c r="P94" s="75" t="s">
        <v>69</v>
      </c>
      <c r="R94" s="11">
        <v>3547</v>
      </c>
      <c r="S94" s="11">
        <f t="shared" si="16"/>
        <v>34</v>
      </c>
      <c r="T94" s="67">
        <f t="shared" si="17"/>
        <v>34</v>
      </c>
      <c r="U94" s="67">
        <f t="shared" si="18"/>
        <v>31.925</v>
      </c>
      <c r="V94" s="79">
        <f t="shared" si="19"/>
        <v>372.88400000000007</v>
      </c>
    </row>
    <row r="95" spans="4:22" ht="12">
      <c r="D95" s="71">
        <v>40529</v>
      </c>
      <c r="E95" s="72">
        <f t="shared" si="15"/>
        <v>987.5</v>
      </c>
      <c r="F95" s="59">
        <v>2921</v>
      </c>
      <c r="G95" s="70">
        <v>1809</v>
      </c>
      <c r="H95" s="73">
        <f t="shared" si="7"/>
        <v>4730</v>
      </c>
      <c r="I95" s="62">
        <f t="shared" si="8"/>
        <v>114.95696202531644</v>
      </c>
      <c r="J95" s="31">
        <f t="shared" si="9"/>
        <v>12.333333333333334</v>
      </c>
      <c r="K95" s="31">
        <f t="shared" si="10"/>
        <v>22.424242424242426</v>
      </c>
      <c r="L95" s="74">
        <f t="shared" si="11"/>
        <v>0.38245243128964057</v>
      </c>
      <c r="M95" s="31">
        <f t="shared" si="12"/>
        <v>296</v>
      </c>
      <c r="N95" s="64">
        <f t="shared" si="13"/>
        <v>2109.6574</v>
      </c>
      <c r="O95" s="31">
        <f t="shared" si="14"/>
        <v>2029.1700000000003</v>
      </c>
      <c r="P95" s="75" t="s">
        <v>69</v>
      </c>
      <c r="R95" s="11">
        <v>3583</v>
      </c>
      <c r="S95" s="11">
        <f t="shared" si="16"/>
        <v>36</v>
      </c>
      <c r="T95" s="67">
        <f t="shared" si="17"/>
        <v>36</v>
      </c>
      <c r="U95" s="67">
        <f t="shared" si="18"/>
        <v>32.02439024390244</v>
      </c>
      <c r="V95" s="79">
        <f t="shared" si="19"/>
        <v>383.3960000000001</v>
      </c>
    </row>
    <row r="96" spans="4:22" ht="12">
      <c r="D96" s="71">
        <v>40530</v>
      </c>
      <c r="E96" s="72">
        <f t="shared" si="15"/>
        <v>1011.5</v>
      </c>
      <c r="F96" s="59">
        <v>3029</v>
      </c>
      <c r="G96" s="70">
        <v>1924</v>
      </c>
      <c r="H96" s="73">
        <f t="shared" si="7"/>
        <v>4953</v>
      </c>
      <c r="I96" s="62">
        <f t="shared" si="8"/>
        <v>117.52051408798813</v>
      </c>
      <c r="J96" s="31">
        <f t="shared" si="9"/>
        <v>9.291666666666666</v>
      </c>
      <c r="K96" s="31">
        <f t="shared" si="10"/>
        <v>16.893939393939394</v>
      </c>
      <c r="L96" s="74">
        <f t="shared" si="11"/>
        <v>0.3884514435695538</v>
      </c>
      <c r="M96" s="31">
        <f t="shared" si="12"/>
        <v>223</v>
      </c>
      <c r="N96" s="64">
        <f t="shared" si="13"/>
        <v>2201.7086</v>
      </c>
      <c r="O96" s="31">
        <f t="shared" si="14"/>
        <v>2124.8370000000004</v>
      </c>
      <c r="P96" s="75" t="s">
        <v>69</v>
      </c>
      <c r="R96" s="11">
        <v>3616</v>
      </c>
      <c r="S96" s="11">
        <f t="shared" si="16"/>
        <v>33</v>
      </c>
      <c r="T96" s="67">
        <f t="shared" si="17"/>
        <v>33</v>
      </c>
      <c r="U96" s="67">
        <f t="shared" si="18"/>
        <v>32.04761904761905</v>
      </c>
      <c r="V96" s="79">
        <f t="shared" si="19"/>
        <v>393.03200000000004</v>
      </c>
    </row>
    <row r="97" spans="4:22" ht="12">
      <c r="D97" s="71">
        <v>40531</v>
      </c>
      <c r="E97" s="72">
        <f t="shared" si="15"/>
        <v>1035.5</v>
      </c>
      <c r="F97" s="59">
        <v>3156</v>
      </c>
      <c r="G97" s="70">
        <v>2015</v>
      </c>
      <c r="H97" s="73">
        <f t="shared" si="7"/>
        <v>5171</v>
      </c>
      <c r="I97" s="62">
        <f t="shared" si="8"/>
        <v>119.84934814099469</v>
      </c>
      <c r="J97" s="31">
        <f t="shared" si="9"/>
        <v>9.083333333333334</v>
      </c>
      <c r="K97" s="31">
        <f t="shared" si="10"/>
        <v>16.515151515151516</v>
      </c>
      <c r="L97" s="74">
        <f t="shared" si="11"/>
        <v>0.3896731773351383</v>
      </c>
      <c r="M97" s="31">
        <f t="shared" si="12"/>
        <v>218</v>
      </c>
      <c r="N97" s="64">
        <f t="shared" si="13"/>
        <v>2297.0384000000004</v>
      </c>
      <c r="O97" s="31">
        <f t="shared" si="14"/>
        <v>2218.3590000000004</v>
      </c>
      <c r="P97" s="75" t="s">
        <v>69</v>
      </c>
      <c r="R97" s="11">
        <v>3649</v>
      </c>
      <c r="S97" s="11">
        <f t="shared" si="16"/>
        <v>33</v>
      </c>
      <c r="T97" s="67">
        <f t="shared" si="17"/>
        <v>33</v>
      </c>
      <c r="U97" s="67">
        <f t="shared" si="18"/>
        <v>32.06976744186046</v>
      </c>
      <c r="V97" s="79">
        <f t="shared" si="19"/>
        <v>402.66800000000006</v>
      </c>
    </row>
    <row r="98" spans="4:22" ht="12">
      <c r="D98" s="71">
        <v>40532</v>
      </c>
      <c r="E98" s="72">
        <f t="shared" si="15"/>
        <v>1059.5</v>
      </c>
      <c r="F98" s="59">
        <v>3243</v>
      </c>
      <c r="G98" s="70">
        <v>2077</v>
      </c>
      <c r="H98" s="73">
        <f t="shared" si="7"/>
        <v>5320</v>
      </c>
      <c r="I98" s="62">
        <f t="shared" si="8"/>
        <v>120.50967437470504</v>
      </c>
      <c r="J98" s="31">
        <f t="shared" si="9"/>
        <v>6.208333333333333</v>
      </c>
      <c r="K98" s="31">
        <f t="shared" si="10"/>
        <v>11.287878787878787</v>
      </c>
      <c r="L98" s="74">
        <f t="shared" si="11"/>
        <v>0.3904135338345865</v>
      </c>
      <c r="M98" s="31">
        <f t="shared" si="12"/>
        <v>149</v>
      </c>
      <c r="N98" s="64">
        <f t="shared" si="13"/>
        <v>2362.2442</v>
      </c>
      <c r="O98" s="31">
        <f t="shared" si="14"/>
        <v>2282.28</v>
      </c>
      <c r="P98" s="75" t="s">
        <v>69</v>
      </c>
      <c r="R98" s="11">
        <v>3682</v>
      </c>
      <c r="S98" s="11">
        <f t="shared" si="16"/>
        <v>33</v>
      </c>
      <c r="T98" s="67">
        <f t="shared" si="17"/>
        <v>33</v>
      </c>
      <c r="U98" s="67">
        <f t="shared" si="18"/>
        <v>32.09090909090909</v>
      </c>
      <c r="V98" s="79">
        <f t="shared" si="19"/>
        <v>412.30400000000003</v>
      </c>
    </row>
    <row r="99" spans="4:22" ht="12">
      <c r="D99" s="71">
        <v>40533</v>
      </c>
      <c r="E99" s="72">
        <f t="shared" si="15"/>
        <v>1083.5</v>
      </c>
      <c r="F99" s="59">
        <v>3332</v>
      </c>
      <c r="G99" s="70">
        <v>2135</v>
      </c>
      <c r="H99" s="73">
        <f t="shared" si="7"/>
        <v>5467</v>
      </c>
      <c r="I99" s="62">
        <f t="shared" si="8"/>
        <v>121.09644670050761</v>
      </c>
      <c r="J99" s="31">
        <f t="shared" si="9"/>
        <v>6.125</v>
      </c>
      <c r="K99" s="31">
        <f t="shared" si="10"/>
        <v>11.136363636363637</v>
      </c>
      <c r="L99" s="74">
        <f t="shared" si="11"/>
        <v>0.3905249679897567</v>
      </c>
      <c r="M99" s="31">
        <f t="shared" si="12"/>
        <v>147</v>
      </c>
      <c r="N99" s="64">
        <f t="shared" si="13"/>
        <v>2427.3648000000003</v>
      </c>
      <c r="O99" s="31">
        <f t="shared" si="14"/>
        <v>2345.3430000000003</v>
      </c>
      <c r="P99" s="75" t="s">
        <v>69</v>
      </c>
      <c r="R99" s="11">
        <v>3720</v>
      </c>
      <c r="S99" s="11">
        <f t="shared" si="16"/>
        <v>38</v>
      </c>
      <c r="T99" s="67">
        <f t="shared" si="17"/>
        <v>38</v>
      </c>
      <c r="U99" s="67">
        <f t="shared" si="18"/>
        <v>32.22222222222222</v>
      </c>
      <c r="V99" s="79">
        <f t="shared" si="19"/>
        <v>423.40000000000003</v>
      </c>
    </row>
    <row r="100" spans="4:22" ht="12">
      <c r="D100" s="71">
        <v>40534</v>
      </c>
      <c r="E100" s="72">
        <f t="shared" si="15"/>
        <v>1107.5</v>
      </c>
      <c r="F100" s="59">
        <v>3426</v>
      </c>
      <c r="G100" s="70">
        <v>2184</v>
      </c>
      <c r="H100" s="73">
        <f t="shared" si="7"/>
        <v>5610</v>
      </c>
      <c r="I100" s="62">
        <f t="shared" si="8"/>
        <v>121.57110609480813</v>
      </c>
      <c r="J100" s="31">
        <f t="shared" si="9"/>
        <v>5.958333333333333</v>
      </c>
      <c r="K100" s="31">
        <f t="shared" si="10"/>
        <v>10.833333333333332</v>
      </c>
      <c r="L100" s="74">
        <f t="shared" si="11"/>
        <v>0.3893048128342246</v>
      </c>
      <c r="M100" s="31">
        <f t="shared" si="12"/>
        <v>143</v>
      </c>
      <c r="N100" s="64">
        <f t="shared" si="13"/>
        <v>2492.5644</v>
      </c>
      <c r="O100" s="31">
        <f t="shared" si="14"/>
        <v>2406.69</v>
      </c>
      <c r="P100" s="75" t="s">
        <v>69</v>
      </c>
      <c r="R100" s="11">
        <v>3752</v>
      </c>
      <c r="S100" s="11">
        <f t="shared" si="16"/>
        <v>32</v>
      </c>
      <c r="T100" s="67">
        <f t="shared" si="17"/>
        <v>32</v>
      </c>
      <c r="U100" s="67">
        <f t="shared" si="18"/>
        <v>32.21739130434783</v>
      </c>
      <c r="V100" s="79">
        <f t="shared" si="19"/>
        <v>432.744</v>
      </c>
    </row>
    <row r="101" spans="4:22" ht="12">
      <c r="D101" s="71">
        <v>40535</v>
      </c>
      <c r="E101" s="72">
        <f t="shared" si="15"/>
        <v>1131.5</v>
      </c>
      <c r="F101" s="59">
        <v>3506</v>
      </c>
      <c r="G101" s="70">
        <v>2241</v>
      </c>
      <c r="H101" s="73">
        <f t="shared" si="7"/>
        <v>5747</v>
      </c>
      <c r="I101" s="62">
        <f t="shared" si="8"/>
        <v>121.89836500220946</v>
      </c>
      <c r="J101" s="31">
        <f t="shared" si="9"/>
        <v>5.708333333333333</v>
      </c>
      <c r="K101" s="31">
        <f t="shared" si="10"/>
        <v>10.378787878787879</v>
      </c>
      <c r="L101" s="74">
        <f t="shared" si="11"/>
        <v>0.3899425787367322</v>
      </c>
      <c r="M101" s="31">
        <f t="shared" si="12"/>
        <v>137</v>
      </c>
      <c r="N101" s="64">
        <f t="shared" si="13"/>
        <v>2552.5204000000003</v>
      </c>
      <c r="O101" s="31">
        <f t="shared" si="14"/>
        <v>2465.463</v>
      </c>
      <c r="P101" s="75" t="s">
        <v>69</v>
      </c>
      <c r="R101" s="11">
        <v>3792</v>
      </c>
      <c r="S101" s="11">
        <f t="shared" si="16"/>
        <v>40</v>
      </c>
      <c r="T101" s="67">
        <f t="shared" si="17"/>
        <v>40</v>
      </c>
      <c r="U101" s="67">
        <f t="shared" si="18"/>
        <v>32.38297872340426</v>
      </c>
      <c r="V101" s="79">
        <f t="shared" si="19"/>
        <v>444.42400000000004</v>
      </c>
    </row>
    <row r="102" spans="4:22" ht="12">
      <c r="D102" s="71">
        <v>40537</v>
      </c>
      <c r="E102" s="72">
        <f t="shared" si="15"/>
        <v>1179.5</v>
      </c>
      <c r="F102" s="59">
        <v>3701</v>
      </c>
      <c r="G102" s="70">
        <v>2316</v>
      </c>
      <c r="H102" s="73">
        <f t="shared" si="7"/>
        <v>6017</v>
      </c>
      <c r="I102" s="62">
        <f t="shared" si="8"/>
        <v>122.43153878762188</v>
      </c>
      <c r="J102" s="31">
        <f t="shared" si="9"/>
        <v>5.625</v>
      </c>
      <c r="K102" s="31">
        <f t="shared" si="10"/>
        <v>10.227272727272727</v>
      </c>
      <c r="L102" s="74">
        <f t="shared" si="11"/>
        <v>0.38490942330064815</v>
      </c>
      <c r="M102" s="31">
        <f t="shared" si="12"/>
        <v>135</v>
      </c>
      <c r="N102" s="64">
        <f t="shared" si="13"/>
        <v>2679.9934</v>
      </c>
      <c r="O102" s="31">
        <f t="shared" si="14"/>
        <v>2581.293</v>
      </c>
      <c r="P102" s="75" t="s">
        <v>69</v>
      </c>
      <c r="R102" s="11">
        <v>3871</v>
      </c>
      <c r="S102" s="11">
        <f t="shared" si="16"/>
        <v>79</v>
      </c>
      <c r="T102" s="67">
        <f t="shared" si="17"/>
        <v>39.5</v>
      </c>
      <c r="U102" s="67">
        <f t="shared" si="18"/>
        <v>32.673469387755105</v>
      </c>
      <c r="V102" s="79">
        <f t="shared" si="19"/>
        <v>467.4920000000001</v>
      </c>
    </row>
    <row r="103" spans="4:22" ht="12">
      <c r="D103" s="71">
        <v>40539</v>
      </c>
      <c r="E103" s="72">
        <f t="shared" si="15"/>
        <v>1227.5</v>
      </c>
      <c r="F103" s="59">
        <v>3865</v>
      </c>
      <c r="G103" s="70">
        <v>2417</v>
      </c>
      <c r="H103" s="73">
        <f t="shared" si="7"/>
        <v>6282</v>
      </c>
      <c r="I103" s="62">
        <f t="shared" si="8"/>
        <v>122.82525458248472</v>
      </c>
      <c r="J103" s="31">
        <f t="shared" si="9"/>
        <v>5.520833333333333</v>
      </c>
      <c r="K103" s="31">
        <f t="shared" si="10"/>
        <v>10.037878787878787</v>
      </c>
      <c r="L103" s="74">
        <f t="shared" si="11"/>
        <v>0.38475007959248647</v>
      </c>
      <c r="M103" s="31">
        <f t="shared" si="12"/>
        <v>132.5</v>
      </c>
      <c r="N103" s="64">
        <f t="shared" si="13"/>
        <v>2798.275</v>
      </c>
      <c r="O103" s="31">
        <f t="shared" si="14"/>
        <v>2694.9780000000005</v>
      </c>
      <c r="P103" s="75" t="s">
        <v>69</v>
      </c>
      <c r="R103" s="11">
        <v>3935</v>
      </c>
      <c r="S103" s="11">
        <f t="shared" si="16"/>
        <v>64</v>
      </c>
      <c r="T103" s="67">
        <f t="shared" si="17"/>
        <v>32</v>
      </c>
      <c r="U103" s="67">
        <f t="shared" si="18"/>
        <v>32.64705882352941</v>
      </c>
      <c r="V103" s="79">
        <f t="shared" si="19"/>
        <v>486.18000000000006</v>
      </c>
    </row>
    <row r="104" spans="4:22" ht="12">
      <c r="D104" s="71">
        <v>40540</v>
      </c>
      <c r="E104" s="72">
        <f t="shared" si="15"/>
        <v>1251.5</v>
      </c>
      <c r="F104" s="59">
        <v>4001</v>
      </c>
      <c r="G104" s="70">
        <v>2518</v>
      </c>
      <c r="H104" s="73">
        <f t="shared" si="7"/>
        <v>6519</v>
      </c>
      <c r="I104" s="62">
        <f t="shared" si="8"/>
        <v>125.01478226128646</v>
      </c>
      <c r="J104" s="31">
        <f t="shared" si="9"/>
        <v>9.875</v>
      </c>
      <c r="K104" s="31">
        <f t="shared" si="10"/>
        <v>17.954545454545453</v>
      </c>
      <c r="L104" s="74">
        <f t="shared" si="11"/>
        <v>0.3862555606688142</v>
      </c>
      <c r="M104" s="31">
        <f t="shared" si="12"/>
        <v>237</v>
      </c>
      <c r="N104" s="64">
        <f t="shared" si="13"/>
        <v>2901.3974</v>
      </c>
      <c r="O104" s="31">
        <f t="shared" si="14"/>
        <v>2796.6510000000003</v>
      </c>
      <c r="P104" s="75" t="s">
        <v>69</v>
      </c>
      <c r="R104" s="11">
        <v>3973</v>
      </c>
      <c r="S104" s="11">
        <f t="shared" si="16"/>
        <v>38</v>
      </c>
      <c r="T104" s="67">
        <f t="shared" si="17"/>
        <v>38</v>
      </c>
      <c r="U104" s="67">
        <f t="shared" si="18"/>
        <v>32.75</v>
      </c>
      <c r="V104" s="79">
        <f t="shared" si="19"/>
        <v>497.27600000000007</v>
      </c>
    </row>
    <row r="105" spans="4:22" ht="12">
      <c r="D105" s="71">
        <v>40541</v>
      </c>
      <c r="E105" s="72">
        <f t="shared" si="15"/>
        <v>1275.5</v>
      </c>
      <c r="F105" s="59">
        <v>4144</v>
      </c>
      <c r="G105" s="70">
        <v>2636</v>
      </c>
      <c r="H105" s="73">
        <f t="shared" si="7"/>
        <v>6780</v>
      </c>
      <c r="I105" s="62">
        <f t="shared" si="8"/>
        <v>127.5735005880047</v>
      </c>
      <c r="J105" s="31">
        <f t="shared" si="9"/>
        <v>10.875</v>
      </c>
      <c r="K105" s="31">
        <f t="shared" si="10"/>
        <v>19.772727272727273</v>
      </c>
      <c r="L105" s="74">
        <f t="shared" si="11"/>
        <v>0.3887905604719764</v>
      </c>
      <c r="M105" s="31">
        <f t="shared" si="12"/>
        <v>261</v>
      </c>
      <c r="N105" s="64">
        <f t="shared" si="13"/>
        <v>3013.2736</v>
      </c>
      <c r="O105" s="31">
        <f t="shared" si="14"/>
        <v>2908.6200000000003</v>
      </c>
      <c r="P105" s="75" t="s">
        <v>69</v>
      </c>
      <c r="R105" s="11">
        <v>4001</v>
      </c>
      <c r="S105" s="11">
        <f t="shared" si="16"/>
        <v>28</v>
      </c>
      <c r="T105" s="67">
        <f t="shared" si="17"/>
        <v>28</v>
      </c>
      <c r="U105" s="67">
        <f t="shared" si="18"/>
        <v>32.660377358490564</v>
      </c>
      <c r="V105" s="79">
        <f t="shared" si="19"/>
        <v>505.45200000000006</v>
      </c>
    </row>
    <row r="106" spans="4:22" ht="12">
      <c r="D106" s="71">
        <v>40542</v>
      </c>
      <c r="E106" s="72">
        <f t="shared" si="15"/>
        <v>1299.5</v>
      </c>
      <c r="F106" s="59">
        <v>4277</v>
      </c>
      <c r="G106" s="70">
        <v>2728</v>
      </c>
      <c r="H106" s="73">
        <f t="shared" si="7"/>
        <v>7005</v>
      </c>
      <c r="I106" s="62">
        <f t="shared" si="8"/>
        <v>129.37283570604077</v>
      </c>
      <c r="J106" s="31">
        <f t="shared" si="9"/>
        <v>9.375</v>
      </c>
      <c r="K106" s="31">
        <f t="shared" si="10"/>
        <v>17.045454545454547</v>
      </c>
      <c r="L106" s="74">
        <f t="shared" si="11"/>
        <v>0.3894361170592434</v>
      </c>
      <c r="M106" s="31">
        <f t="shared" si="12"/>
        <v>225</v>
      </c>
      <c r="N106" s="64">
        <f t="shared" si="13"/>
        <v>3112.1438</v>
      </c>
      <c r="O106" s="31">
        <f t="shared" si="14"/>
        <v>3005.1450000000004</v>
      </c>
      <c r="P106" s="75" t="s">
        <v>69</v>
      </c>
      <c r="R106" s="11">
        <v>4042</v>
      </c>
      <c r="S106" s="11">
        <f t="shared" si="16"/>
        <v>41</v>
      </c>
      <c r="T106" s="67">
        <f t="shared" si="17"/>
        <v>41</v>
      </c>
      <c r="U106" s="67">
        <f t="shared" si="18"/>
        <v>32.81481481481482</v>
      </c>
      <c r="V106" s="79">
        <f t="shared" si="19"/>
        <v>517.4240000000001</v>
      </c>
    </row>
    <row r="107" spans="4:22" ht="12">
      <c r="D107" s="71">
        <v>40543</v>
      </c>
      <c r="E107" s="72">
        <f t="shared" si="15"/>
        <v>1323.5</v>
      </c>
      <c r="F107" s="59">
        <v>4375</v>
      </c>
      <c r="G107" s="70">
        <v>2800</v>
      </c>
      <c r="H107" s="73">
        <f t="shared" si="7"/>
        <v>7175</v>
      </c>
      <c r="I107" s="62">
        <f t="shared" si="8"/>
        <v>130.10955799017756</v>
      </c>
      <c r="J107" s="31">
        <f t="shared" si="9"/>
        <v>7.083333333333333</v>
      </c>
      <c r="K107" s="31">
        <f t="shared" si="10"/>
        <v>12.878787878787879</v>
      </c>
      <c r="L107" s="74">
        <f t="shared" si="11"/>
        <v>0.3902439024390244</v>
      </c>
      <c r="M107" s="31">
        <f t="shared" si="12"/>
        <v>170</v>
      </c>
      <c r="N107" s="64">
        <f t="shared" si="13"/>
        <v>3186.2250000000004</v>
      </c>
      <c r="O107" s="31">
        <f t="shared" si="14"/>
        <v>3078.0750000000003</v>
      </c>
      <c r="P107" s="75" t="s">
        <v>69</v>
      </c>
      <c r="R107" s="11">
        <v>4079</v>
      </c>
      <c r="S107" s="11">
        <f t="shared" si="16"/>
        <v>37</v>
      </c>
      <c r="T107" s="67">
        <f t="shared" si="17"/>
        <v>37</v>
      </c>
      <c r="U107" s="67">
        <f t="shared" si="18"/>
        <v>32.89090909090909</v>
      </c>
      <c r="V107" s="79">
        <f t="shared" si="19"/>
        <v>528.2280000000001</v>
      </c>
    </row>
    <row r="108" spans="3:22" ht="12">
      <c r="C108" s="1" t="s">
        <v>70</v>
      </c>
      <c r="D108" s="71">
        <v>40544</v>
      </c>
      <c r="E108" s="72">
        <f t="shared" si="15"/>
        <v>1347.5</v>
      </c>
      <c r="F108" s="59">
        <v>4513</v>
      </c>
      <c r="G108" s="70">
        <v>2917</v>
      </c>
      <c r="H108" s="73">
        <f t="shared" si="7"/>
        <v>7430</v>
      </c>
      <c r="I108" s="62">
        <f t="shared" si="8"/>
        <v>132.33395176252318</v>
      </c>
      <c r="J108" s="31">
        <f t="shared" si="9"/>
        <v>10.625</v>
      </c>
      <c r="K108" s="31">
        <f t="shared" si="10"/>
        <v>19.318181818181817</v>
      </c>
      <c r="L108" s="74">
        <f t="shared" si="11"/>
        <v>0.39259757738896367</v>
      </c>
      <c r="M108" s="31">
        <f t="shared" si="12"/>
        <v>255</v>
      </c>
      <c r="N108" s="80">
        <f>F108*$K$2+G108*$K$3</f>
        <v>3295.1022000000003</v>
      </c>
      <c r="O108" s="65">
        <f t="shared" si="14"/>
        <v>3187.4700000000003</v>
      </c>
      <c r="P108" s="77" t="s">
        <v>69</v>
      </c>
      <c r="Q108" s="31"/>
      <c r="R108" s="11">
        <v>4112</v>
      </c>
      <c r="S108" s="11">
        <f t="shared" si="16"/>
        <v>33</v>
      </c>
      <c r="T108" s="67">
        <f t="shared" si="17"/>
        <v>33</v>
      </c>
      <c r="U108" s="67">
        <f t="shared" si="18"/>
        <v>32.892857142857146</v>
      </c>
      <c r="V108" s="79">
        <f aca="true" t="shared" si="20" ref="V108:V139">(R108-$R$62)*$K$8</f>
        <v>562.731</v>
      </c>
    </row>
    <row r="109" spans="4:22" ht="12">
      <c r="D109" s="71">
        <v>40545</v>
      </c>
      <c r="E109" s="72">
        <f t="shared" si="15"/>
        <v>1371.5</v>
      </c>
      <c r="F109" s="59">
        <v>4602</v>
      </c>
      <c r="G109" s="70">
        <v>2967</v>
      </c>
      <c r="H109" s="73">
        <f t="shared" si="7"/>
        <v>7569</v>
      </c>
      <c r="I109" s="62">
        <f t="shared" si="8"/>
        <v>132.45060153117026</v>
      </c>
      <c r="J109" s="31">
        <f t="shared" si="9"/>
        <v>5.791666666666667</v>
      </c>
      <c r="K109" s="31">
        <f t="shared" si="10"/>
        <v>10.530303030303031</v>
      </c>
      <c r="L109" s="74">
        <f t="shared" si="11"/>
        <v>0.3919936583432422</v>
      </c>
      <c r="M109" s="31">
        <f t="shared" si="12"/>
        <v>139</v>
      </c>
      <c r="N109" s="64">
        <f>N108+((F109-F108)*$K$7+(G109-G108)*$K$8)</f>
        <v>3360.9381000000003</v>
      </c>
      <c r="O109" s="31">
        <f t="shared" si="14"/>
        <v>3247.1010000000006</v>
      </c>
      <c r="P109" s="75" t="s">
        <v>69</v>
      </c>
      <c r="R109" s="11">
        <v>4144</v>
      </c>
      <c r="S109" s="11">
        <f t="shared" si="16"/>
        <v>32</v>
      </c>
      <c r="T109" s="67">
        <f t="shared" si="17"/>
        <v>32</v>
      </c>
      <c r="U109" s="67">
        <f t="shared" si="18"/>
        <v>32.87719298245614</v>
      </c>
      <c r="V109" s="79">
        <f t="shared" si="20"/>
        <v>572.507</v>
      </c>
    </row>
    <row r="110" spans="4:22" ht="12">
      <c r="D110" s="71">
        <v>40546</v>
      </c>
      <c r="E110" s="72">
        <f t="shared" si="15"/>
        <v>1395.5</v>
      </c>
      <c r="F110" s="59">
        <v>4714</v>
      </c>
      <c r="G110" s="70">
        <v>3003</v>
      </c>
      <c r="H110" s="73">
        <f t="shared" si="7"/>
        <v>7717</v>
      </c>
      <c r="I110" s="62">
        <f t="shared" si="8"/>
        <v>132.71802221426015</v>
      </c>
      <c r="J110" s="31">
        <f t="shared" si="9"/>
        <v>6.166666666666667</v>
      </c>
      <c r="K110" s="31">
        <f t="shared" si="10"/>
        <v>11.212121212121213</v>
      </c>
      <c r="L110" s="74">
        <f t="shared" si="11"/>
        <v>0.38914085784631336</v>
      </c>
      <c r="M110" s="31">
        <f t="shared" si="12"/>
        <v>148</v>
      </c>
      <c r="N110" s="64">
        <f aca="true" t="shared" si="21" ref="N110:N173">N109+((F110-F109)*$K$7+(G110-G109)*$K$8)</f>
        <v>3435.5633000000003</v>
      </c>
      <c r="O110" s="31">
        <f t="shared" si="14"/>
        <v>3310.5930000000003</v>
      </c>
      <c r="P110" s="75" t="s">
        <v>69</v>
      </c>
      <c r="R110" s="11">
        <v>4174</v>
      </c>
      <c r="S110" s="11">
        <f t="shared" si="16"/>
        <v>30</v>
      </c>
      <c r="T110" s="67">
        <f t="shared" si="17"/>
        <v>30</v>
      </c>
      <c r="U110" s="67">
        <f t="shared" si="18"/>
        <v>32.827586206896555</v>
      </c>
      <c r="V110" s="79">
        <f t="shared" si="20"/>
        <v>581.672</v>
      </c>
    </row>
    <row r="111" spans="4:22" ht="12">
      <c r="D111" s="71">
        <v>40547</v>
      </c>
      <c r="E111" s="72">
        <f t="shared" si="15"/>
        <v>1419.5</v>
      </c>
      <c r="F111" s="59">
        <v>4805</v>
      </c>
      <c r="G111" s="70">
        <v>3052</v>
      </c>
      <c r="H111" s="73">
        <f t="shared" si="7"/>
        <v>7857</v>
      </c>
      <c r="I111" s="62">
        <f t="shared" si="8"/>
        <v>132.8411412469179</v>
      </c>
      <c r="J111" s="31">
        <f t="shared" si="9"/>
        <v>5.833333333333333</v>
      </c>
      <c r="K111" s="31">
        <f t="shared" si="10"/>
        <v>10.606060606060606</v>
      </c>
      <c r="L111" s="74">
        <f t="shared" si="11"/>
        <v>0.38844342624411354</v>
      </c>
      <c r="M111" s="31">
        <f t="shared" si="12"/>
        <v>140</v>
      </c>
      <c r="N111" s="64">
        <f t="shared" si="21"/>
        <v>3502.2299000000003</v>
      </c>
      <c r="O111" s="31">
        <f t="shared" si="14"/>
        <v>3370.6530000000002</v>
      </c>
      <c r="P111" s="75" t="s">
        <v>69</v>
      </c>
      <c r="R111" s="11">
        <v>4208</v>
      </c>
      <c r="S111" s="11">
        <f t="shared" si="16"/>
        <v>34</v>
      </c>
      <c r="T111" s="67">
        <f t="shared" si="17"/>
        <v>34</v>
      </c>
      <c r="U111" s="67">
        <f t="shared" si="18"/>
        <v>32.847457627118644</v>
      </c>
      <c r="V111" s="79">
        <f t="shared" si="20"/>
        <v>592.059</v>
      </c>
    </row>
    <row r="112" spans="4:22" ht="12">
      <c r="D112" s="71">
        <v>40548</v>
      </c>
      <c r="E112" s="72">
        <f t="shared" si="15"/>
        <v>1443.5</v>
      </c>
      <c r="F112" s="59">
        <v>4950</v>
      </c>
      <c r="G112" s="70">
        <v>3128</v>
      </c>
      <c r="H112" s="73">
        <f t="shared" si="7"/>
        <v>8078</v>
      </c>
      <c r="I112" s="62">
        <f t="shared" si="8"/>
        <v>134.3068929684794</v>
      </c>
      <c r="J112" s="31">
        <f t="shared" si="9"/>
        <v>9.208333333333334</v>
      </c>
      <c r="K112" s="31">
        <f t="shared" si="10"/>
        <v>16.742424242424242</v>
      </c>
      <c r="L112" s="74">
        <f t="shared" si="11"/>
        <v>0.3872245605347858</v>
      </c>
      <c r="M112" s="31">
        <f t="shared" si="12"/>
        <v>221</v>
      </c>
      <c r="N112" s="64">
        <f t="shared" si="21"/>
        <v>3607.8224000000005</v>
      </c>
      <c r="O112" s="31">
        <f t="shared" si="14"/>
        <v>3465.4620000000004</v>
      </c>
      <c r="P112" s="75" t="s">
        <v>69</v>
      </c>
      <c r="R112" s="11">
        <v>4248</v>
      </c>
      <c r="S112" s="11">
        <f t="shared" si="16"/>
        <v>40</v>
      </c>
      <c r="T112" s="67">
        <f t="shared" si="17"/>
        <v>40</v>
      </c>
      <c r="U112" s="67">
        <f t="shared" si="18"/>
        <v>32.96666666666667</v>
      </c>
      <c r="V112" s="79">
        <f t="shared" si="20"/>
        <v>604.279</v>
      </c>
    </row>
    <row r="113" spans="4:22" ht="12">
      <c r="D113" s="68">
        <v>40549</v>
      </c>
      <c r="E113" s="72">
        <f t="shared" si="15"/>
        <v>1467.5</v>
      </c>
      <c r="F113" s="59">
        <v>5080</v>
      </c>
      <c r="G113" s="70">
        <v>3284</v>
      </c>
      <c r="H113" s="73">
        <f t="shared" si="7"/>
        <v>8364</v>
      </c>
      <c r="I113" s="62">
        <f t="shared" si="8"/>
        <v>136.787734241908</v>
      </c>
      <c r="J113" s="31">
        <f t="shared" si="9"/>
        <v>11.916666666666666</v>
      </c>
      <c r="K113" s="31">
        <f t="shared" si="10"/>
        <v>21.666666666666664</v>
      </c>
      <c r="L113" s="74">
        <f t="shared" si="11"/>
        <v>0.39263510282161646</v>
      </c>
      <c r="M113" s="31">
        <f t="shared" si="12"/>
        <v>286</v>
      </c>
      <c r="N113" s="64">
        <f t="shared" si="21"/>
        <v>3729.3334000000004</v>
      </c>
      <c r="O113" s="31">
        <f t="shared" si="14"/>
        <v>3588.1560000000004</v>
      </c>
      <c r="P113" s="75" t="s">
        <v>68</v>
      </c>
      <c r="Q113" s="31">
        <f>N113-N85</f>
        <v>2421.1426</v>
      </c>
      <c r="R113" s="77">
        <v>4283</v>
      </c>
      <c r="S113" s="11">
        <f t="shared" si="16"/>
        <v>35</v>
      </c>
      <c r="T113" s="67">
        <f t="shared" si="17"/>
        <v>35</v>
      </c>
      <c r="U113" s="67">
        <f t="shared" si="18"/>
        <v>33</v>
      </c>
      <c r="V113" s="79">
        <f t="shared" si="20"/>
        <v>614.9715</v>
      </c>
    </row>
    <row r="114" spans="4:22" ht="12">
      <c r="D114" s="81">
        <v>40552</v>
      </c>
      <c r="E114" s="72">
        <f t="shared" si="15"/>
        <v>1539.5</v>
      </c>
      <c r="F114" s="59">
        <v>5325</v>
      </c>
      <c r="G114" s="70">
        <v>3334</v>
      </c>
      <c r="H114" s="73">
        <f t="shared" si="7"/>
        <v>8659</v>
      </c>
      <c r="I114" s="62">
        <f t="shared" si="8"/>
        <v>134.98928223449172</v>
      </c>
      <c r="J114" s="31">
        <f t="shared" si="9"/>
        <v>4.097222222222222</v>
      </c>
      <c r="K114" s="31">
        <f t="shared" si="10"/>
        <v>7.44949494949495</v>
      </c>
      <c r="L114" s="74">
        <f t="shared" si="11"/>
        <v>0.38503291373137777</v>
      </c>
      <c r="M114" s="31">
        <f t="shared" si="12"/>
        <v>98.33333333333334</v>
      </c>
      <c r="N114" s="64">
        <f t="shared" si="21"/>
        <v>3883.7929000000004</v>
      </c>
      <c r="O114" s="45">
        <f t="shared" si="14"/>
        <v>3714.7110000000002</v>
      </c>
      <c r="P114" s="75" t="s">
        <v>68</v>
      </c>
      <c r="Q114" s="11"/>
      <c r="R114" s="11">
        <v>4387</v>
      </c>
      <c r="S114" s="11">
        <f t="shared" si="16"/>
        <v>104</v>
      </c>
      <c r="T114" s="67">
        <f t="shared" si="17"/>
        <v>34.666666666666664</v>
      </c>
      <c r="U114" s="67">
        <f t="shared" si="18"/>
        <v>33.078125</v>
      </c>
      <c r="V114" s="79">
        <f t="shared" si="20"/>
        <v>646.7435</v>
      </c>
    </row>
    <row r="115" spans="4:22" ht="12">
      <c r="D115" s="81">
        <v>40553</v>
      </c>
      <c r="E115" s="72">
        <f t="shared" si="15"/>
        <v>1563.5</v>
      </c>
      <c r="F115" s="59">
        <v>5410</v>
      </c>
      <c r="G115" s="70">
        <v>3368</v>
      </c>
      <c r="H115" s="73">
        <f t="shared" si="7"/>
        <v>8778</v>
      </c>
      <c r="I115" s="62">
        <f t="shared" si="8"/>
        <v>134.7438439398785</v>
      </c>
      <c r="J115" s="31">
        <f t="shared" si="9"/>
        <v>4.958333333333333</v>
      </c>
      <c r="K115" s="31">
        <f t="shared" si="10"/>
        <v>9.015151515151514</v>
      </c>
      <c r="L115" s="74">
        <f t="shared" si="11"/>
        <v>0.38368648894964685</v>
      </c>
      <c r="M115" s="31">
        <f t="shared" si="12"/>
        <v>119</v>
      </c>
      <c r="N115" s="64">
        <f t="shared" si="21"/>
        <v>3942.4684</v>
      </c>
      <c r="O115" s="45">
        <f t="shared" si="14"/>
        <v>3765.7620000000006</v>
      </c>
      <c r="P115" s="75" t="s">
        <v>68</v>
      </c>
      <c r="Q115" s="11"/>
      <c r="R115" s="11">
        <v>4422</v>
      </c>
      <c r="S115" s="11">
        <f t="shared" si="16"/>
        <v>35</v>
      </c>
      <c r="T115" s="67">
        <f t="shared" si="17"/>
        <v>35</v>
      </c>
      <c r="U115" s="67">
        <f t="shared" si="18"/>
        <v>33.10769230769231</v>
      </c>
      <c r="V115" s="79">
        <f t="shared" si="20"/>
        <v>657.436</v>
      </c>
    </row>
    <row r="116" spans="4:22" ht="12">
      <c r="D116" s="81">
        <v>40554</v>
      </c>
      <c r="E116" s="72">
        <f t="shared" si="15"/>
        <v>1587.5</v>
      </c>
      <c r="F116" s="59">
        <v>5494</v>
      </c>
      <c r="G116" s="70">
        <v>3416</v>
      </c>
      <c r="H116" s="73">
        <f t="shared" si="7"/>
        <v>8910</v>
      </c>
      <c r="I116" s="62">
        <f t="shared" si="8"/>
        <v>134.7023622047244</v>
      </c>
      <c r="J116" s="31">
        <f t="shared" si="9"/>
        <v>5.5</v>
      </c>
      <c r="K116" s="31">
        <f t="shared" si="10"/>
        <v>10</v>
      </c>
      <c r="L116" s="74">
        <f t="shared" si="11"/>
        <v>0.38338945005611674</v>
      </c>
      <c r="M116" s="31">
        <f t="shared" si="12"/>
        <v>132</v>
      </c>
      <c r="N116" s="64">
        <f t="shared" si="21"/>
        <v>4004.8528</v>
      </c>
      <c r="O116" s="45">
        <f t="shared" si="14"/>
        <v>3822.3900000000003</v>
      </c>
      <c r="P116" s="75">
        <v>22.1</v>
      </c>
      <c r="Q116" s="11"/>
      <c r="R116" s="11">
        <v>4455</v>
      </c>
      <c r="S116" s="11">
        <f t="shared" si="16"/>
        <v>33</v>
      </c>
      <c r="T116" s="67">
        <f t="shared" si="17"/>
        <v>33</v>
      </c>
      <c r="U116" s="67">
        <f t="shared" si="18"/>
        <v>33.10606060606061</v>
      </c>
      <c r="V116" s="79">
        <f t="shared" si="20"/>
        <v>667.5175</v>
      </c>
    </row>
    <row r="117" spans="4:22" ht="12">
      <c r="D117" s="81">
        <v>40555</v>
      </c>
      <c r="E117" s="72">
        <f t="shared" si="15"/>
        <v>1611.5</v>
      </c>
      <c r="F117" s="59">
        <v>5573</v>
      </c>
      <c r="G117" s="70">
        <v>3466</v>
      </c>
      <c r="H117" s="73">
        <f t="shared" si="7"/>
        <v>9039</v>
      </c>
      <c r="I117" s="62">
        <f t="shared" si="8"/>
        <v>134.61743717033818</v>
      </c>
      <c r="J117" s="31">
        <f t="shared" si="9"/>
        <v>5.375</v>
      </c>
      <c r="K117" s="31">
        <f t="shared" si="10"/>
        <v>9.772727272727273</v>
      </c>
      <c r="L117" s="74">
        <f t="shared" si="11"/>
        <v>0.3834494966257329</v>
      </c>
      <c r="M117" s="31">
        <f t="shared" si="12"/>
        <v>129</v>
      </c>
      <c r="N117" s="64">
        <f t="shared" si="21"/>
        <v>4065.0077</v>
      </c>
      <c r="O117" s="45">
        <f t="shared" si="14"/>
        <v>3877.731</v>
      </c>
      <c r="P117" s="75">
        <v>22.1</v>
      </c>
      <c r="Q117" s="11"/>
      <c r="R117" s="11">
        <v>4492</v>
      </c>
      <c r="S117" s="11">
        <f t="shared" si="16"/>
        <v>37</v>
      </c>
      <c r="T117" s="67">
        <f t="shared" si="17"/>
        <v>37</v>
      </c>
      <c r="U117" s="67">
        <f t="shared" si="18"/>
        <v>33.16417910447761</v>
      </c>
      <c r="V117" s="79">
        <f t="shared" si="20"/>
        <v>678.821</v>
      </c>
    </row>
    <row r="118" spans="4:22" ht="12">
      <c r="D118" s="81">
        <v>40556</v>
      </c>
      <c r="E118" s="72">
        <f t="shared" si="15"/>
        <v>1635.5</v>
      </c>
      <c r="F118" s="59">
        <v>5643</v>
      </c>
      <c r="G118" s="70">
        <v>3508</v>
      </c>
      <c r="H118" s="73">
        <f t="shared" si="7"/>
        <v>9151</v>
      </c>
      <c r="I118" s="62">
        <f t="shared" si="8"/>
        <v>134.28553959033934</v>
      </c>
      <c r="J118" s="31">
        <f t="shared" si="9"/>
        <v>4.666666666666667</v>
      </c>
      <c r="K118" s="31">
        <f t="shared" si="10"/>
        <v>8.484848484848486</v>
      </c>
      <c r="L118" s="74">
        <f t="shared" si="11"/>
        <v>0.3833460823953666</v>
      </c>
      <c r="M118" s="31">
        <f t="shared" si="12"/>
        <v>112</v>
      </c>
      <c r="N118" s="64">
        <f t="shared" si="21"/>
        <v>4117.6057</v>
      </c>
      <c r="O118" s="45">
        <f t="shared" si="14"/>
        <v>3925.7790000000005</v>
      </c>
      <c r="P118" s="75">
        <v>22.3</v>
      </c>
      <c r="Q118" s="11"/>
      <c r="R118" s="11">
        <v>4524</v>
      </c>
      <c r="S118" s="11">
        <f t="shared" si="16"/>
        <v>32</v>
      </c>
      <c r="T118" s="67">
        <f t="shared" si="17"/>
        <v>32</v>
      </c>
      <c r="U118" s="67">
        <f t="shared" si="18"/>
        <v>33.14705882352941</v>
      </c>
      <c r="V118" s="79">
        <f t="shared" si="20"/>
        <v>688.597</v>
      </c>
    </row>
    <row r="119" spans="4:22" ht="12">
      <c r="D119" s="81">
        <v>40557</v>
      </c>
      <c r="E119" s="72">
        <f t="shared" si="15"/>
        <v>1659.5</v>
      </c>
      <c r="F119" s="59">
        <v>5696</v>
      </c>
      <c r="G119" s="70">
        <v>3542</v>
      </c>
      <c r="H119" s="73">
        <f t="shared" si="7"/>
        <v>9238</v>
      </c>
      <c r="I119" s="62">
        <f t="shared" si="8"/>
        <v>133.60168725519736</v>
      </c>
      <c r="J119" s="31">
        <f t="shared" si="9"/>
        <v>3.625</v>
      </c>
      <c r="K119" s="31">
        <f t="shared" si="10"/>
        <v>6.590909090909091</v>
      </c>
      <c r="L119" s="74">
        <f t="shared" si="11"/>
        <v>0.38341632387962765</v>
      </c>
      <c r="M119" s="31">
        <f t="shared" si="12"/>
        <v>87</v>
      </c>
      <c r="N119" s="64">
        <f t="shared" si="21"/>
        <v>4158.102</v>
      </c>
      <c r="O119" s="45">
        <f t="shared" si="14"/>
        <v>3963.1020000000003</v>
      </c>
      <c r="P119" s="75">
        <v>22.3</v>
      </c>
      <c r="Q119" s="11"/>
      <c r="R119" s="11">
        <v>4564</v>
      </c>
      <c r="S119" s="11">
        <f t="shared" si="16"/>
        <v>40</v>
      </c>
      <c r="T119" s="67">
        <f t="shared" si="17"/>
        <v>40</v>
      </c>
      <c r="U119" s="67">
        <f t="shared" si="18"/>
        <v>33.2463768115942</v>
      </c>
      <c r="V119" s="79">
        <f t="shared" si="20"/>
        <v>700.817</v>
      </c>
    </row>
    <row r="120" spans="4:22" ht="12">
      <c r="D120" s="81">
        <v>40558</v>
      </c>
      <c r="E120" s="72">
        <f t="shared" si="15"/>
        <v>1683.5</v>
      </c>
      <c r="F120" s="59">
        <v>5744</v>
      </c>
      <c r="G120" s="70">
        <v>3560</v>
      </c>
      <c r="H120" s="73">
        <f t="shared" si="7"/>
        <v>9304</v>
      </c>
      <c r="I120" s="62">
        <f t="shared" si="8"/>
        <v>132.63795663795665</v>
      </c>
      <c r="J120" s="31">
        <f t="shared" si="9"/>
        <v>2.75</v>
      </c>
      <c r="K120" s="31">
        <f t="shared" si="10"/>
        <v>5</v>
      </c>
      <c r="L120" s="74">
        <f t="shared" si="11"/>
        <v>0.3826311263972485</v>
      </c>
      <c r="M120" s="31">
        <f t="shared" si="12"/>
        <v>66</v>
      </c>
      <c r="N120" s="64">
        <f t="shared" si="21"/>
        <v>4190.8697999999995</v>
      </c>
      <c r="O120" s="45">
        <f t="shared" si="14"/>
        <v>3991.4160000000006</v>
      </c>
      <c r="P120" s="75">
        <v>22.3</v>
      </c>
      <c r="Q120" s="11"/>
      <c r="R120" s="11">
        <v>4596</v>
      </c>
      <c r="S120" s="11">
        <f t="shared" si="16"/>
        <v>32</v>
      </c>
      <c r="T120" s="67">
        <f t="shared" si="17"/>
        <v>32</v>
      </c>
      <c r="U120" s="67">
        <f t="shared" si="18"/>
        <v>33.22857142857143</v>
      </c>
      <c r="V120" s="79">
        <f t="shared" si="20"/>
        <v>710.593</v>
      </c>
    </row>
    <row r="121" spans="4:22" ht="12">
      <c r="D121" s="81">
        <v>40559</v>
      </c>
      <c r="E121" s="72">
        <f t="shared" si="15"/>
        <v>1707.5</v>
      </c>
      <c r="F121" s="59">
        <v>5798</v>
      </c>
      <c r="G121" s="70">
        <v>3592</v>
      </c>
      <c r="H121" s="73">
        <f t="shared" si="7"/>
        <v>9390</v>
      </c>
      <c r="I121" s="62">
        <f t="shared" si="8"/>
        <v>131.98243045387994</v>
      </c>
      <c r="J121" s="31">
        <f t="shared" si="9"/>
        <v>3.5833333333333335</v>
      </c>
      <c r="K121" s="31">
        <f t="shared" si="10"/>
        <v>6.515151515151516</v>
      </c>
      <c r="L121" s="74">
        <f t="shared" si="11"/>
        <v>0.3825346112886049</v>
      </c>
      <c r="M121" s="31">
        <f t="shared" si="12"/>
        <v>86</v>
      </c>
      <c r="N121" s="64">
        <f t="shared" si="21"/>
        <v>4231.3232</v>
      </c>
      <c r="O121" s="45">
        <f t="shared" si="14"/>
        <v>4028.3100000000004</v>
      </c>
      <c r="P121" s="75">
        <v>22.3</v>
      </c>
      <c r="Q121" s="11"/>
      <c r="R121" s="11">
        <v>4626</v>
      </c>
      <c r="S121" s="11">
        <f t="shared" si="16"/>
        <v>30</v>
      </c>
      <c r="T121" s="67">
        <f t="shared" si="17"/>
        <v>30</v>
      </c>
      <c r="U121" s="67">
        <f t="shared" si="18"/>
        <v>33.183098591549296</v>
      </c>
      <c r="V121" s="79">
        <f t="shared" si="20"/>
        <v>719.758</v>
      </c>
    </row>
    <row r="122" spans="4:22" ht="12">
      <c r="D122" s="81">
        <v>40560</v>
      </c>
      <c r="E122" s="72">
        <f t="shared" si="15"/>
        <v>1731.5</v>
      </c>
      <c r="F122" s="59">
        <v>5861</v>
      </c>
      <c r="G122" s="70">
        <v>3628</v>
      </c>
      <c r="H122" s="73">
        <f t="shared" si="7"/>
        <v>9489</v>
      </c>
      <c r="I122" s="62">
        <f t="shared" si="8"/>
        <v>131.5252671094427</v>
      </c>
      <c r="J122" s="31">
        <f t="shared" si="9"/>
        <v>4.125</v>
      </c>
      <c r="K122" s="31">
        <f t="shared" si="10"/>
        <v>7.5</v>
      </c>
      <c r="L122" s="74">
        <f t="shared" si="11"/>
        <v>0.3823374433554642</v>
      </c>
      <c r="M122" s="31">
        <f t="shared" si="12"/>
        <v>99</v>
      </c>
      <c r="N122" s="64">
        <f t="shared" si="21"/>
        <v>4278.1115</v>
      </c>
      <c r="O122" s="45">
        <f t="shared" si="14"/>
        <v>4070.7810000000004</v>
      </c>
      <c r="P122" s="75">
        <v>22.3</v>
      </c>
      <c r="Q122" s="11"/>
      <c r="R122" s="11">
        <v>4661</v>
      </c>
      <c r="S122" s="11">
        <f t="shared" si="16"/>
        <v>35</v>
      </c>
      <c r="T122" s="67">
        <f t="shared" si="17"/>
        <v>35</v>
      </c>
      <c r="U122" s="67">
        <f t="shared" si="18"/>
        <v>33.208333333333336</v>
      </c>
      <c r="V122" s="79">
        <f t="shared" si="20"/>
        <v>730.4505</v>
      </c>
    </row>
    <row r="123" spans="4:22" ht="12">
      <c r="D123" s="81">
        <v>40562</v>
      </c>
      <c r="E123" s="72">
        <f t="shared" si="15"/>
        <v>1779.5</v>
      </c>
      <c r="F123" s="59">
        <v>5997</v>
      </c>
      <c r="G123" s="70">
        <v>3715</v>
      </c>
      <c r="H123" s="73">
        <f t="shared" si="7"/>
        <v>9712</v>
      </c>
      <c r="I123" s="62">
        <f t="shared" si="8"/>
        <v>130.98510817645405</v>
      </c>
      <c r="J123" s="31">
        <f t="shared" si="9"/>
        <v>4.645833333333333</v>
      </c>
      <c r="K123" s="31">
        <f t="shared" si="10"/>
        <v>8.446969696969697</v>
      </c>
      <c r="L123" s="74">
        <f t="shared" si="11"/>
        <v>0.3825164744645799</v>
      </c>
      <c r="M123" s="31">
        <f t="shared" si="12"/>
        <v>111.5</v>
      </c>
      <c r="N123" s="64">
        <f t="shared" si="21"/>
        <v>4381.9516</v>
      </c>
      <c r="O123" s="45">
        <f t="shared" si="14"/>
        <v>4166.448</v>
      </c>
      <c r="P123" s="75">
        <v>22.3</v>
      </c>
      <c r="Q123" s="11"/>
      <c r="R123" s="11">
        <v>4729</v>
      </c>
      <c r="S123" s="11">
        <f t="shared" si="16"/>
        <v>68</v>
      </c>
      <c r="T123" s="67">
        <f t="shared" si="17"/>
        <v>34</v>
      </c>
      <c r="U123" s="67">
        <f t="shared" si="18"/>
        <v>33.229729729729726</v>
      </c>
      <c r="V123" s="79">
        <f t="shared" si="20"/>
        <v>751.2245</v>
      </c>
    </row>
    <row r="124" spans="4:22" ht="12">
      <c r="D124" s="81">
        <v>40563</v>
      </c>
      <c r="E124" s="72">
        <f t="shared" si="15"/>
        <v>1803.5</v>
      </c>
      <c r="F124" s="59">
        <v>6075</v>
      </c>
      <c r="G124" s="70">
        <v>3759</v>
      </c>
      <c r="H124" s="73">
        <f t="shared" si="7"/>
        <v>9834</v>
      </c>
      <c r="I124" s="62">
        <f t="shared" si="8"/>
        <v>130.8655392292764</v>
      </c>
      <c r="J124" s="31">
        <f t="shared" si="9"/>
        <v>5.083333333333333</v>
      </c>
      <c r="K124" s="31">
        <f t="shared" si="10"/>
        <v>9.242424242424242</v>
      </c>
      <c r="L124" s="74">
        <f t="shared" si="11"/>
        <v>0.3822452715070165</v>
      </c>
      <c r="M124" s="31">
        <f t="shared" si="12"/>
        <v>122</v>
      </c>
      <c r="N124" s="64">
        <f t="shared" si="21"/>
        <v>4439.705400000001</v>
      </c>
      <c r="O124" s="45">
        <f t="shared" si="14"/>
        <v>4218.786</v>
      </c>
      <c r="P124" s="75">
        <v>22.3</v>
      </c>
      <c r="Q124" s="11"/>
      <c r="R124" s="11">
        <v>4767</v>
      </c>
      <c r="S124" s="11">
        <f t="shared" si="16"/>
        <v>38</v>
      </c>
      <c r="T124" s="67">
        <f t="shared" si="17"/>
        <v>38</v>
      </c>
      <c r="U124" s="67">
        <f t="shared" si="18"/>
        <v>33.29333333333334</v>
      </c>
      <c r="V124" s="79">
        <f t="shared" si="20"/>
        <v>762.8335</v>
      </c>
    </row>
    <row r="125" spans="4:22" ht="12">
      <c r="D125" s="81">
        <v>40564</v>
      </c>
      <c r="E125" s="72">
        <f t="shared" si="15"/>
        <v>1827.5</v>
      </c>
      <c r="F125" s="59">
        <v>6152</v>
      </c>
      <c r="G125" s="70">
        <v>3804</v>
      </c>
      <c r="H125" s="73">
        <f t="shared" si="7"/>
        <v>9956</v>
      </c>
      <c r="I125" s="62">
        <f t="shared" si="8"/>
        <v>130.74911080711354</v>
      </c>
      <c r="J125" s="31">
        <f t="shared" si="9"/>
        <v>5.083333333333333</v>
      </c>
      <c r="K125" s="31">
        <f t="shared" si="10"/>
        <v>9.242424242424242</v>
      </c>
      <c r="L125" s="74">
        <f t="shared" si="11"/>
        <v>0.3820811570912013</v>
      </c>
      <c r="M125" s="31">
        <f t="shared" si="12"/>
        <v>122</v>
      </c>
      <c r="N125" s="64">
        <f t="shared" si="21"/>
        <v>4497.196600000001</v>
      </c>
      <c r="O125" s="45">
        <f t="shared" si="14"/>
        <v>4271.124000000001</v>
      </c>
      <c r="P125" s="75">
        <v>22.3</v>
      </c>
      <c r="Q125" s="11"/>
      <c r="R125" s="11">
        <v>4794</v>
      </c>
      <c r="S125" s="11">
        <f t="shared" si="16"/>
        <v>27</v>
      </c>
      <c r="T125" s="67">
        <f t="shared" si="17"/>
        <v>27</v>
      </c>
      <c r="U125" s="67">
        <f t="shared" si="18"/>
        <v>33.21052631578947</v>
      </c>
      <c r="V125" s="79">
        <f t="shared" si="20"/>
        <v>771.082</v>
      </c>
    </row>
    <row r="126" spans="4:22" ht="12">
      <c r="D126" s="81">
        <v>40565</v>
      </c>
      <c r="E126" s="72">
        <f t="shared" si="15"/>
        <v>1851.5</v>
      </c>
      <c r="F126" s="59">
        <v>6218</v>
      </c>
      <c r="G126" s="70">
        <v>3837</v>
      </c>
      <c r="H126" s="73">
        <f t="shared" si="7"/>
        <v>10055</v>
      </c>
      <c r="I126" s="62">
        <f t="shared" si="8"/>
        <v>130.33756413718606</v>
      </c>
      <c r="J126" s="31">
        <f t="shared" si="9"/>
        <v>4.125</v>
      </c>
      <c r="K126" s="31">
        <f t="shared" si="10"/>
        <v>7.5</v>
      </c>
      <c r="L126" s="74">
        <f t="shared" si="11"/>
        <v>0.38160119343610144</v>
      </c>
      <c r="M126" s="31">
        <f t="shared" si="12"/>
        <v>99</v>
      </c>
      <c r="N126" s="64">
        <f t="shared" si="21"/>
        <v>4544.772700000001</v>
      </c>
      <c r="O126" s="45">
        <f t="shared" si="14"/>
        <v>4313.595</v>
      </c>
      <c r="P126" s="75">
        <v>21.5</v>
      </c>
      <c r="Q126" s="82" t="s">
        <v>102</v>
      </c>
      <c r="R126" s="11">
        <v>4830</v>
      </c>
      <c r="S126" s="11">
        <f t="shared" si="16"/>
        <v>36</v>
      </c>
      <c r="T126" s="67">
        <f t="shared" si="17"/>
        <v>36</v>
      </c>
      <c r="U126" s="67">
        <f t="shared" si="18"/>
        <v>33.246753246753244</v>
      </c>
      <c r="V126" s="79">
        <f t="shared" si="20"/>
        <v>782.0799999999999</v>
      </c>
    </row>
    <row r="127" spans="4:22" ht="12">
      <c r="D127" s="81">
        <v>40566</v>
      </c>
      <c r="E127" s="72">
        <f t="shared" si="15"/>
        <v>1875.5</v>
      </c>
      <c r="F127" s="59">
        <v>6308</v>
      </c>
      <c r="G127" s="70">
        <v>3885</v>
      </c>
      <c r="H127" s="73">
        <f aca="true" t="shared" si="22" ref="H127:H193">SUM(F127:G127)</f>
        <v>10193</v>
      </c>
      <c r="I127" s="62">
        <f aca="true" t="shared" si="23" ref="I127:I193">(H127/E127)*24</f>
        <v>130.43561716875502</v>
      </c>
      <c r="J127" s="31">
        <f aca="true" t="shared" si="24" ref="J127:J189">(H127-H126)/(E127-E126)</f>
        <v>5.75</v>
      </c>
      <c r="K127" s="31">
        <f aca="true" t="shared" si="25" ref="K127:K193">J127*1000/550</f>
        <v>10.454545454545455</v>
      </c>
      <c r="L127" s="74">
        <f aca="true" t="shared" si="26" ref="L127:L193">G127/H127</f>
        <v>0.3811439222996174</v>
      </c>
      <c r="M127" s="31">
        <f aca="true" t="shared" si="27" ref="M127:M193">J127*24</f>
        <v>138</v>
      </c>
      <c r="N127" s="64">
        <f t="shared" si="21"/>
        <v>4610.565700000001</v>
      </c>
      <c r="O127" s="45">
        <f aca="true" t="shared" si="28" ref="O127:O193">H127*$K$5</f>
        <v>4372.7970000000005</v>
      </c>
      <c r="P127" s="75">
        <v>21.9</v>
      </c>
      <c r="Q127" s="82"/>
      <c r="R127" s="11">
        <v>4865</v>
      </c>
      <c r="S127" s="11">
        <f aca="true" t="shared" si="29" ref="S127:S189">R127-R126</f>
        <v>35</v>
      </c>
      <c r="T127" s="67">
        <f t="shared" si="17"/>
        <v>35</v>
      </c>
      <c r="U127" s="67">
        <f t="shared" si="18"/>
        <v>33.26923076923077</v>
      </c>
      <c r="V127" s="79">
        <f t="shared" si="20"/>
        <v>792.7725</v>
      </c>
    </row>
    <row r="128" spans="4:22" ht="12">
      <c r="D128" s="81">
        <v>40567</v>
      </c>
      <c r="E128" s="72">
        <f aca="true" t="shared" si="30" ref="E128:E194">24*(D128-D127)+E127</f>
        <v>1899.5</v>
      </c>
      <c r="F128" s="59">
        <v>6396</v>
      </c>
      <c r="G128" s="70">
        <v>3952</v>
      </c>
      <c r="H128" s="73">
        <f t="shared" si="22"/>
        <v>10348</v>
      </c>
      <c r="I128" s="62">
        <f t="shared" si="23"/>
        <v>130.7459857857331</v>
      </c>
      <c r="J128" s="31">
        <f t="shared" si="24"/>
        <v>6.458333333333333</v>
      </c>
      <c r="K128" s="31">
        <f t="shared" si="25"/>
        <v>11.742424242424242</v>
      </c>
      <c r="L128" s="74">
        <f t="shared" si="26"/>
        <v>0.38190954773869346</v>
      </c>
      <c r="M128" s="31">
        <f t="shared" si="27"/>
        <v>155</v>
      </c>
      <c r="N128" s="64">
        <f t="shared" si="21"/>
        <v>4681.027000000001</v>
      </c>
      <c r="O128" s="45">
        <f t="shared" si="28"/>
        <v>4439.292</v>
      </c>
      <c r="P128" s="75">
        <v>21.9</v>
      </c>
      <c r="Q128" s="82"/>
      <c r="R128" s="11">
        <v>4897</v>
      </c>
      <c r="S128" s="11">
        <f t="shared" si="29"/>
        <v>32</v>
      </c>
      <c r="T128" s="67">
        <f aca="true" t="shared" si="31" ref="T128:T194">S128/(D128-D127)</f>
        <v>32</v>
      </c>
      <c r="U128" s="67">
        <f t="shared" si="18"/>
        <v>33.25316455696203</v>
      </c>
      <c r="V128" s="79">
        <f t="shared" si="20"/>
        <v>802.5485</v>
      </c>
    </row>
    <row r="129" spans="4:22" ht="12">
      <c r="D129" s="81">
        <v>40568</v>
      </c>
      <c r="E129" s="72">
        <f t="shared" si="30"/>
        <v>1923.5</v>
      </c>
      <c r="F129" s="59">
        <v>6492</v>
      </c>
      <c r="G129" s="70">
        <v>4034</v>
      </c>
      <c r="H129" s="73">
        <f t="shared" si="22"/>
        <v>10526</v>
      </c>
      <c r="I129" s="62">
        <f t="shared" si="23"/>
        <v>131.3355861710424</v>
      </c>
      <c r="J129" s="31">
        <f t="shared" si="24"/>
        <v>7.416666666666667</v>
      </c>
      <c r="K129" s="31">
        <f t="shared" si="25"/>
        <v>13.484848484848486</v>
      </c>
      <c r="L129" s="74">
        <f t="shared" si="26"/>
        <v>0.38324149724491735</v>
      </c>
      <c r="M129" s="31">
        <f t="shared" si="27"/>
        <v>178</v>
      </c>
      <c r="N129" s="64">
        <f t="shared" si="21"/>
        <v>4760.615600000001</v>
      </c>
      <c r="O129" s="45">
        <f t="shared" si="28"/>
        <v>4515.654</v>
      </c>
      <c r="P129" s="75">
        <v>21.9</v>
      </c>
      <c r="Q129" s="82"/>
      <c r="R129" s="11">
        <v>4934</v>
      </c>
      <c r="S129" s="11">
        <f t="shared" si="29"/>
        <v>37</v>
      </c>
      <c r="T129" s="67">
        <f t="shared" si="31"/>
        <v>37</v>
      </c>
      <c r="U129" s="67">
        <f t="shared" si="18"/>
        <v>33.3</v>
      </c>
      <c r="V129" s="79">
        <f t="shared" si="20"/>
        <v>813.852</v>
      </c>
    </row>
    <row r="130" spans="4:22" ht="12">
      <c r="D130" s="81">
        <v>40569</v>
      </c>
      <c r="E130" s="72">
        <f t="shared" si="30"/>
        <v>1947.5</v>
      </c>
      <c r="F130" s="59">
        <v>6578</v>
      </c>
      <c r="G130" s="70">
        <v>4084</v>
      </c>
      <c r="H130" s="73">
        <f t="shared" si="22"/>
        <v>10662</v>
      </c>
      <c r="I130" s="62">
        <f t="shared" si="23"/>
        <v>131.39306803594351</v>
      </c>
      <c r="J130" s="31">
        <f t="shared" si="24"/>
        <v>5.666666666666667</v>
      </c>
      <c r="K130" s="31">
        <f t="shared" si="25"/>
        <v>10.303030303030303</v>
      </c>
      <c r="L130" s="74">
        <f t="shared" si="26"/>
        <v>0.38304258112924405</v>
      </c>
      <c r="M130" s="31">
        <f t="shared" si="27"/>
        <v>136</v>
      </c>
      <c r="N130" s="64">
        <f t="shared" si="21"/>
        <v>4824.747200000001</v>
      </c>
      <c r="O130" s="45">
        <f t="shared" si="28"/>
        <v>4573.9980000000005</v>
      </c>
      <c r="P130" s="75">
        <v>21.9</v>
      </c>
      <c r="Q130" s="82"/>
      <c r="R130" s="11">
        <v>4970</v>
      </c>
      <c r="S130" s="11">
        <f t="shared" si="29"/>
        <v>36</v>
      </c>
      <c r="T130" s="67">
        <f t="shared" si="31"/>
        <v>36</v>
      </c>
      <c r="U130" s="67">
        <f t="shared" si="18"/>
        <v>33.333333333333336</v>
      </c>
      <c r="V130" s="79">
        <f t="shared" si="20"/>
        <v>824.85</v>
      </c>
    </row>
    <row r="131" spans="4:22" ht="12">
      <c r="D131" s="81">
        <v>40570</v>
      </c>
      <c r="E131" s="72">
        <f t="shared" si="30"/>
        <v>1971.5</v>
      </c>
      <c r="F131" s="59">
        <v>6658</v>
      </c>
      <c r="G131" s="70">
        <v>4129</v>
      </c>
      <c r="H131" s="73">
        <f t="shared" si="22"/>
        <v>10787</v>
      </c>
      <c r="I131" s="62">
        <f t="shared" si="23"/>
        <v>131.31524220136953</v>
      </c>
      <c r="J131" s="31">
        <f t="shared" si="24"/>
        <v>5.208333333333333</v>
      </c>
      <c r="K131" s="31">
        <f t="shared" si="25"/>
        <v>9.469696969696969</v>
      </c>
      <c r="L131" s="74">
        <f t="shared" si="26"/>
        <v>0.38277556317789935</v>
      </c>
      <c r="M131" s="31">
        <f t="shared" si="27"/>
        <v>125</v>
      </c>
      <c r="N131" s="64">
        <f t="shared" si="21"/>
        <v>4883.9427000000005</v>
      </c>
      <c r="O131" s="45">
        <f t="shared" si="28"/>
        <v>4627.6230000000005</v>
      </c>
      <c r="P131" s="75">
        <v>21.9</v>
      </c>
      <c r="Q131" s="82"/>
      <c r="R131" s="11">
        <v>5003</v>
      </c>
      <c r="S131" s="11">
        <f t="shared" si="29"/>
        <v>33</v>
      </c>
      <c r="T131" s="67">
        <f t="shared" si="31"/>
        <v>33</v>
      </c>
      <c r="U131" s="67">
        <f t="shared" si="18"/>
        <v>33.329268292682926</v>
      </c>
      <c r="V131" s="79">
        <f t="shared" si="20"/>
        <v>834.9315</v>
      </c>
    </row>
    <row r="132" spans="4:22" ht="12">
      <c r="D132" s="81">
        <v>40571</v>
      </c>
      <c r="E132" s="72">
        <f t="shared" si="30"/>
        <v>1995.5</v>
      </c>
      <c r="F132" s="59">
        <v>6743</v>
      </c>
      <c r="G132" s="70">
        <v>4185</v>
      </c>
      <c r="H132" s="73">
        <f t="shared" si="22"/>
        <v>10928</v>
      </c>
      <c r="I132" s="62">
        <f t="shared" si="23"/>
        <v>131.43172137308946</v>
      </c>
      <c r="J132" s="31">
        <f t="shared" si="24"/>
        <v>5.875</v>
      </c>
      <c r="K132" s="31">
        <f t="shared" si="25"/>
        <v>10.681818181818182</v>
      </c>
      <c r="L132" s="74">
        <f t="shared" si="26"/>
        <v>0.38296120058565153</v>
      </c>
      <c r="M132" s="31">
        <f t="shared" si="27"/>
        <v>141</v>
      </c>
      <c r="N132" s="64">
        <f t="shared" si="21"/>
        <v>4949.3392</v>
      </c>
      <c r="O132" s="45">
        <f t="shared" si="28"/>
        <v>4688.112</v>
      </c>
      <c r="P132" s="75">
        <v>21.8</v>
      </c>
      <c r="Q132" s="82"/>
      <c r="R132" s="11">
        <v>5040</v>
      </c>
      <c r="S132" s="11">
        <f t="shared" si="29"/>
        <v>37</v>
      </c>
      <c r="T132" s="67">
        <f t="shared" si="31"/>
        <v>37</v>
      </c>
      <c r="U132" s="67">
        <f t="shared" si="18"/>
        <v>33.373493975903614</v>
      </c>
      <c r="V132" s="79">
        <f t="shared" si="20"/>
        <v>846.235</v>
      </c>
    </row>
    <row r="133" spans="4:22" ht="12">
      <c r="D133" s="81">
        <v>40573</v>
      </c>
      <c r="E133" s="72">
        <f t="shared" si="30"/>
        <v>2043.5</v>
      </c>
      <c r="F133" s="59">
        <v>6958</v>
      </c>
      <c r="G133" s="70">
        <v>4356</v>
      </c>
      <c r="H133" s="73">
        <f t="shared" si="22"/>
        <v>11314</v>
      </c>
      <c r="I133" s="62">
        <f t="shared" si="23"/>
        <v>132.87790555419622</v>
      </c>
      <c r="J133" s="31">
        <f t="shared" si="24"/>
        <v>8.041666666666666</v>
      </c>
      <c r="K133" s="31">
        <f t="shared" si="25"/>
        <v>14.62121212121212</v>
      </c>
      <c r="L133" s="74">
        <f t="shared" si="26"/>
        <v>0.38500972246773907</v>
      </c>
      <c r="M133" s="31">
        <f t="shared" si="27"/>
        <v>193</v>
      </c>
      <c r="N133" s="64">
        <f t="shared" si="21"/>
        <v>5123.7212</v>
      </c>
      <c r="O133" s="45">
        <f t="shared" si="28"/>
        <v>4853.706</v>
      </c>
      <c r="P133" s="75">
        <v>21.8</v>
      </c>
      <c r="Q133" s="82"/>
      <c r="R133" s="11">
        <v>5114</v>
      </c>
      <c r="S133" s="11">
        <f t="shared" si="29"/>
        <v>74</v>
      </c>
      <c r="T133" s="67">
        <f t="shared" si="31"/>
        <v>37</v>
      </c>
      <c r="U133" s="67">
        <f aca="true" t="shared" si="32" ref="U133:U197">(R133-$R$62)/(D133-$D$62)</f>
        <v>33.45882352941177</v>
      </c>
      <c r="V133" s="79">
        <f t="shared" si="20"/>
        <v>868.842</v>
      </c>
    </row>
    <row r="134" spans="3:22" ht="12">
      <c r="C134" s="83" t="s">
        <v>71</v>
      </c>
      <c r="D134" s="84">
        <v>40574</v>
      </c>
      <c r="E134" s="72">
        <f t="shared" si="30"/>
        <v>2067.5</v>
      </c>
      <c r="F134" s="59">
        <v>7067</v>
      </c>
      <c r="G134" s="70">
        <v>4435</v>
      </c>
      <c r="H134" s="73">
        <f t="shared" si="22"/>
        <v>11502</v>
      </c>
      <c r="I134" s="62">
        <f t="shared" si="23"/>
        <v>133.51777509068924</v>
      </c>
      <c r="J134" s="31">
        <f t="shared" si="24"/>
        <v>7.833333333333333</v>
      </c>
      <c r="K134" s="31">
        <f t="shared" si="25"/>
        <v>14.242424242424242</v>
      </c>
      <c r="L134" s="74">
        <f t="shared" si="26"/>
        <v>0.385585115632064</v>
      </c>
      <c r="M134" s="31">
        <f t="shared" si="27"/>
        <v>188</v>
      </c>
      <c r="N134" s="64">
        <f t="shared" si="21"/>
        <v>5209.7786</v>
      </c>
      <c r="O134" s="45">
        <f t="shared" si="28"/>
        <v>4934.358</v>
      </c>
      <c r="P134" s="75">
        <v>21.5</v>
      </c>
      <c r="Q134" s="82"/>
      <c r="R134" s="11">
        <v>5141</v>
      </c>
      <c r="S134" s="11">
        <f t="shared" si="29"/>
        <v>27</v>
      </c>
      <c r="T134" s="67">
        <f t="shared" si="31"/>
        <v>27</v>
      </c>
      <c r="U134" s="67">
        <f t="shared" si="32"/>
        <v>33.383720930232556</v>
      </c>
      <c r="V134" s="79">
        <f t="shared" si="20"/>
        <v>877.0905</v>
      </c>
    </row>
    <row r="135" spans="4:22" ht="12">
      <c r="D135" s="81">
        <v>40575</v>
      </c>
      <c r="E135" s="72">
        <f t="shared" si="30"/>
        <v>2091.5</v>
      </c>
      <c r="F135" s="59">
        <v>7191</v>
      </c>
      <c r="G135" s="70">
        <v>4536</v>
      </c>
      <c r="H135" s="73">
        <f t="shared" si="22"/>
        <v>11727</v>
      </c>
      <c r="I135" s="62">
        <f t="shared" si="23"/>
        <v>134.56753526177386</v>
      </c>
      <c r="J135" s="31">
        <f t="shared" si="24"/>
        <v>9.375</v>
      </c>
      <c r="K135" s="31">
        <f t="shared" si="25"/>
        <v>17.045454545454547</v>
      </c>
      <c r="L135" s="74">
        <f t="shared" si="26"/>
        <v>0.38679969301611666</v>
      </c>
      <c r="M135" s="31">
        <f t="shared" si="27"/>
        <v>225</v>
      </c>
      <c r="N135" s="64">
        <f t="shared" si="21"/>
        <v>5311.0785</v>
      </c>
      <c r="O135" s="45">
        <f t="shared" si="28"/>
        <v>5030.883000000001</v>
      </c>
      <c r="P135" s="75">
        <v>21.4</v>
      </c>
      <c r="Q135" s="82"/>
      <c r="R135" s="11">
        <v>5171</v>
      </c>
      <c r="S135" s="11">
        <f t="shared" si="29"/>
        <v>30</v>
      </c>
      <c r="T135" s="67">
        <f t="shared" si="31"/>
        <v>30</v>
      </c>
      <c r="U135" s="67">
        <f t="shared" si="32"/>
        <v>33.3448275862069</v>
      </c>
      <c r="V135" s="79">
        <f t="shared" si="20"/>
        <v>886.2555</v>
      </c>
    </row>
    <row r="136" spans="4:22" ht="12">
      <c r="D136" s="81">
        <v>40576</v>
      </c>
      <c r="E136" s="72">
        <f t="shared" si="30"/>
        <v>2115.5</v>
      </c>
      <c r="F136" s="59">
        <v>7300</v>
      </c>
      <c r="G136" s="70">
        <v>4611</v>
      </c>
      <c r="H136" s="73">
        <f t="shared" si="22"/>
        <v>11911</v>
      </c>
      <c r="I136" s="62">
        <f t="shared" si="23"/>
        <v>135.12833845426613</v>
      </c>
      <c r="J136" s="31">
        <f t="shared" si="24"/>
        <v>7.666666666666667</v>
      </c>
      <c r="K136" s="31">
        <f t="shared" si="25"/>
        <v>13.93939393939394</v>
      </c>
      <c r="L136" s="74">
        <f t="shared" si="26"/>
        <v>0.38712114851817647</v>
      </c>
      <c r="M136" s="31">
        <f t="shared" si="27"/>
        <v>184</v>
      </c>
      <c r="N136" s="64">
        <f t="shared" si="21"/>
        <v>5395.9139</v>
      </c>
      <c r="O136" s="45">
        <f t="shared" si="28"/>
        <v>5109.819</v>
      </c>
      <c r="P136" s="75">
        <v>21.4</v>
      </c>
      <c r="Q136" s="82"/>
      <c r="R136" s="11">
        <v>5207</v>
      </c>
      <c r="S136" s="11">
        <f t="shared" si="29"/>
        <v>36</v>
      </c>
      <c r="T136" s="67">
        <f t="shared" si="31"/>
        <v>36</v>
      </c>
      <c r="U136" s="67">
        <f t="shared" si="32"/>
        <v>33.375</v>
      </c>
      <c r="V136" s="79">
        <f t="shared" si="20"/>
        <v>897.2535</v>
      </c>
    </row>
    <row r="137" spans="4:22" ht="12">
      <c r="D137" s="81">
        <v>40577</v>
      </c>
      <c r="E137" s="72">
        <f t="shared" si="30"/>
        <v>2139.5</v>
      </c>
      <c r="F137" s="59">
        <v>7385</v>
      </c>
      <c r="G137" s="70">
        <v>4671</v>
      </c>
      <c r="H137" s="73">
        <f t="shared" si="22"/>
        <v>12056</v>
      </c>
      <c r="I137" s="62">
        <f t="shared" si="23"/>
        <v>135.23907455012852</v>
      </c>
      <c r="J137" s="31">
        <f t="shared" si="24"/>
        <v>6.041666666666667</v>
      </c>
      <c r="K137" s="31">
        <f t="shared" si="25"/>
        <v>10.984848484848486</v>
      </c>
      <c r="L137" s="74">
        <f t="shared" si="26"/>
        <v>0.38744193762441936</v>
      </c>
      <c r="M137" s="31">
        <f t="shared" si="27"/>
        <v>145</v>
      </c>
      <c r="N137" s="64">
        <f t="shared" si="21"/>
        <v>5462.532399999999</v>
      </c>
      <c r="O137" s="45">
        <f t="shared" si="28"/>
        <v>5172.024</v>
      </c>
      <c r="P137" s="75">
        <v>21.5</v>
      </c>
      <c r="Q137" s="82"/>
      <c r="R137" s="11">
        <v>5244</v>
      </c>
      <c r="S137" s="11">
        <f t="shared" si="29"/>
        <v>37</v>
      </c>
      <c r="T137" s="67">
        <f t="shared" si="31"/>
        <v>37</v>
      </c>
      <c r="U137" s="67">
        <f t="shared" si="32"/>
        <v>33.41573033707865</v>
      </c>
      <c r="V137" s="79">
        <f t="shared" si="20"/>
        <v>908.557</v>
      </c>
    </row>
    <row r="138" spans="4:22" ht="12">
      <c r="D138" s="81">
        <v>40578</v>
      </c>
      <c r="E138" s="72">
        <f t="shared" si="30"/>
        <v>2163.5</v>
      </c>
      <c r="F138" s="59">
        <v>7461</v>
      </c>
      <c r="G138" s="70">
        <v>4734</v>
      </c>
      <c r="H138" s="73">
        <f t="shared" si="22"/>
        <v>12195</v>
      </c>
      <c r="I138" s="62">
        <f t="shared" si="23"/>
        <v>135.28079500808875</v>
      </c>
      <c r="J138" s="31">
        <f t="shared" si="24"/>
        <v>5.791666666666667</v>
      </c>
      <c r="K138" s="31">
        <f t="shared" si="25"/>
        <v>10.530303030303031</v>
      </c>
      <c r="L138" s="74">
        <f t="shared" si="26"/>
        <v>0.3881918819188192</v>
      </c>
      <c r="M138" s="31">
        <f t="shared" si="27"/>
        <v>139</v>
      </c>
      <c r="N138" s="64">
        <f t="shared" si="21"/>
        <v>5524.954499999999</v>
      </c>
      <c r="O138" s="45">
        <f t="shared" si="28"/>
        <v>5231.655000000001</v>
      </c>
      <c r="P138" s="75">
        <v>21.5</v>
      </c>
      <c r="Q138" s="82"/>
      <c r="R138" s="11">
        <v>5280</v>
      </c>
      <c r="S138" s="11">
        <f t="shared" si="29"/>
        <v>36</v>
      </c>
      <c r="T138" s="67">
        <f t="shared" si="31"/>
        <v>36</v>
      </c>
      <c r="U138" s="67">
        <f t="shared" si="32"/>
        <v>33.44444444444444</v>
      </c>
      <c r="V138" s="79">
        <f t="shared" si="20"/>
        <v>919.555</v>
      </c>
    </row>
    <row r="139" spans="4:22" ht="12">
      <c r="D139" s="68">
        <v>40580</v>
      </c>
      <c r="E139" s="72">
        <f t="shared" si="30"/>
        <v>2211.5</v>
      </c>
      <c r="F139" s="59">
        <v>7570</v>
      </c>
      <c r="G139" s="70">
        <v>4803</v>
      </c>
      <c r="H139" s="73">
        <f t="shared" si="22"/>
        <v>12373</v>
      </c>
      <c r="I139" s="62">
        <f t="shared" si="23"/>
        <v>134.27628306579246</v>
      </c>
      <c r="J139" s="31">
        <f t="shared" si="24"/>
        <v>3.7083333333333335</v>
      </c>
      <c r="K139" s="31">
        <f t="shared" si="25"/>
        <v>6.742424242424243</v>
      </c>
      <c r="L139" s="74">
        <f t="shared" si="26"/>
        <v>0.38818394892103775</v>
      </c>
      <c r="M139" s="31">
        <f t="shared" si="27"/>
        <v>89</v>
      </c>
      <c r="N139" s="64">
        <f t="shared" si="21"/>
        <v>5607.956899999999</v>
      </c>
      <c r="O139" s="45">
        <f t="shared" si="28"/>
        <v>5308.017000000001</v>
      </c>
      <c r="P139" s="75">
        <v>22.1</v>
      </c>
      <c r="Q139" s="85">
        <f>N139-N113</f>
        <v>1878.6234999999988</v>
      </c>
      <c r="R139" s="77">
        <v>5349</v>
      </c>
      <c r="S139" s="11">
        <f t="shared" si="29"/>
        <v>69</v>
      </c>
      <c r="T139" s="67">
        <f t="shared" si="31"/>
        <v>34.5</v>
      </c>
      <c r="U139" s="67">
        <f t="shared" si="32"/>
        <v>33.46739130434783</v>
      </c>
      <c r="V139" s="79">
        <f t="shared" si="20"/>
        <v>940.6345</v>
      </c>
    </row>
    <row r="140" spans="4:22" ht="12">
      <c r="D140" s="81">
        <v>40581</v>
      </c>
      <c r="E140" s="72">
        <f t="shared" si="30"/>
        <v>2235.5</v>
      </c>
      <c r="F140" s="59">
        <v>7616</v>
      </c>
      <c r="G140" s="70">
        <v>4828</v>
      </c>
      <c r="H140" s="73">
        <f t="shared" si="22"/>
        <v>12444</v>
      </c>
      <c r="I140" s="62">
        <f t="shared" si="23"/>
        <v>133.59695817490493</v>
      </c>
      <c r="J140" s="31">
        <f t="shared" si="24"/>
        <v>2.9583333333333335</v>
      </c>
      <c r="K140" s="31">
        <f t="shared" si="25"/>
        <v>5.378787878787879</v>
      </c>
      <c r="L140" s="74">
        <f t="shared" si="26"/>
        <v>0.3879781420765027</v>
      </c>
      <c r="M140" s="31">
        <f t="shared" si="27"/>
        <v>71</v>
      </c>
      <c r="N140" s="64">
        <f t="shared" si="21"/>
        <v>5641.726999999999</v>
      </c>
      <c r="O140" s="45">
        <f t="shared" si="28"/>
        <v>5338.476000000001</v>
      </c>
      <c r="P140" s="75">
        <v>22.3</v>
      </c>
      <c r="Q140" s="82"/>
      <c r="R140" s="11">
        <v>5380</v>
      </c>
      <c r="S140" s="11">
        <f t="shared" si="29"/>
        <v>31</v>
      </c>
      <c r="T140" s="67">
        <f t="shared" si="31"/>
        <v>31</v>
      </c>
      <c r="U140" s="67">
        <f t="shared" si="32"/>
        <v>33.44086021505376</v>
      </c>
      <c r="V140" s="79">
        <f aca="true" t="shared" si="33" ref="V140:V171">(R140-$R$62)*$K$8</f>
        <v>950.105</v>
      </c>
    </row>
    <row r="141" spans="4:22" ht="12">
      <c r="D141" s="81">
        <v>40582</v>
      </c>
      <c r="E141" s="72">
        <f t="shared" si="30"/>
        <v>2259.5</v>
      </c>
      <c r="F141" s="59">
        <v>7662</v>
      </c>
      <c r="G141" s="70">
        <v>4857</v>
      </c>
      <c r="H141" s="73">
        <f t="shared" si="22"/>
        <v>12519</v>
      </c>
      <c r="I141" s="62">
        <f t="shared" si="23"/>
        <v>132.9745518920115</v>
      </c>
      <c r="J141" s="31">
        <f t="shared" si="24"/>
        <v>3.125</v>
      </c>
      <c r="K141" s="31">
        <f t="shared" si="25"/>
        <v>5.681818181818182</v>
      </c>
      <c r="L141" s="74">
        <f t="shared" si="26"/>
        <v>0.38797028516654686</v>
      </c>
      <c r="M141" s="31">
        <f t="shared" si="27"/>
        <v>75</v>
      </c>
      <c r="N141" s="64">
        <f t="shared" si="21"/>
        <v>5676.719099999999</v>
      </c>
      <c r="O141" s="45">
        <f t="shared" si="28"/>
        <v>5370.651000000001</v>
      </c>
      <c r="P141" s="75">
        <v>22.3</v>
      </c>
      <c r="Q141" s="82"/>
      <c r="R141" s="11">
        <v>5416</v>
      </c>
      <c r="S141" s="11">
        <f t="shared" si="29"/>
        <v>36</v>
      </c>
      <c r="T141" s="67">
        <f t="shared" si="31"/>
        <v>36</v>
      </c>
      <c r="U141" s="67">
        <f t="shared" si="32"/>
        <v>33.46808510638298</v>
      </c>
      <c r="V141" s="79">
        <f t="shared" si="33"/>
        <v>961.103</v>
      </c>
    </row>
    <row r="142" spans="4:22" ht="12">
      <c r="D142" s="81">
        <v>40583</v>
      </c>
      <c r="E142" s="72">
        <f t="shared" si="30"/>
        <v>2283.5</v>
      </c>
      <c r="F142" s="59">
        <v>7712</v>
      </c>
      <c r="G142" s="70">
        <v>4889</v>
      </c>
      <c r="H142" s="73">
        <f t="shared" si="22"/>
        <v>12601</v>
      </c>
      <c r="I142" s="62">
        <f t="shared" si="23"/>
        <v>132.43880008758484</v>
      </c>
      <c r="J142" s="31">
        <f t="shared" si="24"/>
        <v>3.4166666666666665</v>
      </c>
      <c r="K142" s="31">
        <f t="shared" si="25"/>
        <v>6.212121212121212</v>
      </c>
      <c r="L142" s="74">
        <f t="shared" si="26"/>
        <v>0.38798508054916275</v>
      </c>
      <c r="M142" s="31">
        <f t="shared" si="27"/>
        <v>82</v>
      </c>
      <c r="N142" s="64">
        <f t="shared" si="21"/>
        <v>5714.900099999999</v>
      </c>
      <c r="O142" s="45">
        <f t="shared" si="28"/>
        <v>5405.829000000001</v>
      </c>
      <c r="P142" s="75">
        <v>22.3</v>
      </c>
      <c r="Q142" s="82"/>
      <c r="R142" s="11">
        <v>5448</v>
      </c>
      <c r="S142" s="11">
        <f t="shared" si="29"/>
        <v>32</v>
      </c>
      <c r="T142" s="67">
        <f t="shared" si="31"/>
        <v>32</v>
      </c>
      <c r="U142" s="67">
        <f t="shared" si="32"/>
        <v>33.45263157894737</v>
      </c>
      <c r="V142" s="79">
        <f t="shared" si="33"/>
        <v>970.879</v>
      </c>
    </row>
    <row r="143" spans="4:22" ht="12">
      <c r="D143" s="81">
        <v>40584</v>
      </c>
      <c r="E143" s="72">
        <f t="shared" si="30"/>
        <v>2307.5</v>
      </c>
      <c r="F143" s="59">
        <v>7781</v>
      </c>
      <c r="G143" s="70">
        <v>4925</v>
      </c>
      <c r="H143" s="73">
        <f t="shared" si="22"/>
        <v>12706</v>
      </c>
      <c r="I143" s="62">
        <f t="shared" si="23"/>
        <v>132.15341278439868</v>
      </c>
      <c r="J143" s="31">
        <f t="shared" si="24"/>
        <v>4.375</v>
      </c>
      <c r="K143" s="31">
        <f t="shared" si="25"/>
        <v>7.954545454545454</v>
      </c>
      <c r="L143" s="74">
        <f t="shared" si="26"/>
        <v>0.3876121517393357</v>
      </c>
      <c r="M143" s="31">
        <f t="shared" si="27"/>
        <v>105</v>
      </c>
      <c r="N143" s="64">
        <f t="shared" si="21"/>
        <v>5765.096999999999</v>
      </c>
      <c r="O143" s="45">
        <f t="shared" si="28"/>
        <v>5450.874000000001</v>
      </c>
      <c r="P143" s="75">
        <v>22.3</v>
      </c>
      <c r="Q143" s="82"/>
      <c r="R143" s="11">
        <v>5481</v>
      </c>
      <c r="S143" s="11">
        <f t="shared" si="29"/>
        <v>33</v>
      </c>
      <c r="T143" s="67">
        <f t="shared" si="31"/>
        <v>33</v>
      </c>
      <c r="U143" s="67">
        <f t="shared" si="32"/>
        <v>33.447916666666664</v>
      </c>
      <c r="V143" s="79">
        <f t="shared" si="33"/>
        <v>980.9605</v>
      </c>
    </row>
    <row r="144" spans="4:22" ht="12">
      <c r="D144" s="81">
        <v>40585</v>
      </c>
      <c r="E144" s="72">
        <f t="shared" si="30"/>
        <v>2331.5</v>
      </c>
      <c r="F144" s="59">
        <v>7841</v>
      </c>
      <c r="G144" s="70">
        <v>4962</v>
      </c>
      <c r="H144" s="73">
        <f t="shared" si="22"/>
        <v>12803</v>
      </c>
      <c r="I144" s="62">
        <f t="shared" si="23"/>
        <v>131.7915505039674</v>
      </c>
      <c r="J144" s="31">
        <f t="shared" si="24"/>
        <v>4.041666666666667</v>
      </c>
      <c r="K144" s="31">
        <f t="shared" si="25"/>
        <v>7.348484848484849</v>
      </c>
      <c r="L144" s="74">
        <f t="shared" si="26"/>
        <v>0.38756541435601033</v>
      </c>
      <c r="M144" s="31">
        <f t="shared" si="27"/>
        <v>97</v>
      </c>
      <c r="N144" s="64">
        <f t="shared" si="21"/>
        <v>5810.486499999999</v>
      </c>
      <c r="O144" s="45">
        <f t="shared" si="28"/>
        <v>5492.487000000001</v>
      </c>
      <c r="P144" s="75">
        <v>22.3</v>
      </c>
      <c r="Q144" s="82"/>
      <c r="R144" s="11">
        <v>5513</v>
      </c>
      <c r="S144" s="11">
        <f t="shared" si="29"/>
        <v>32</v>
      </c>
      <c r="T144" s="67">
        <f t="shared" si="31"/>
        <v>32</v>
      </c>
      <c r="U144" s="67">
        <f t="shared" si="32"/>
        <v>33.43298969072165</v>
      </c>
      <c r="V144" s="79">
        <f t="shared" si="33"/>
        <v>990.7365</v>
      </c>
    </row>
    <row r="145" spans="4:22" ht="12">
      <c r="D145" s="81">
        <v>40586</v>
      </c>
      <c r="E145" s="72">
        <f t="shared" si="30"/>
        <v>2355.5</v>
      </c>
      <c r="F145" s="59">
        <v>7901</v>
      </c>
      <c r="G145" s="70">
        <v>4992</v>
      </c>
      <c r="H145" s="73">
        <f t="shared" si="22"/>
        <v>12893</v>
      </c>
      <c r="I145" s="62">
        <f t="shared" si="23"/>
        <v>131.36573975801315</v>
      </c>
      <c r="J145" s="31">
        <f t="shared" si="24"/>
        <v>3.75</v>
      </c>
      <c r="K145" s="31">
        <f t="shared" si="25"/>
        <v>6.818181818181818</v>
      </c>
      <c r="L145" s="74">
        <f t="shared" si="26"/>
        <v>0.3871868455751183</v>
      </c>
      <c r="M145" s="31">
        <f t="shared" si="27"/>
        <v>90</v>
      </c>
      <c r="N145" s="64">
        <f t="shared" si="21"/>
        <v>5853.737499999999</v>
      </c>
      <c r="O145" s="45">
        <f t="shared" si="28"/>
        <v>5531.097000000001</v>
      </c>
      <c r="P145" s="86">
        <v>22</v>
      </c>
      <c r="Q145" s="82"/>
      <c r="R145" s="11">
        <v>5544</v>
      </c>
      <c r="S145" s="11">
        <f t="shared" si="29"/>
        <v>31</v>
      </c>
      <c r="T145" s="67">
        <f t="shared" si="31"/>
        <v>31</v>
      </c>
      <c r="U145" s="67">
        <f t="shared" si="32"/>
        <v>33.40816326530612</v>
      </c>
      <c r="V145" s="79">
        <f t="shared" si="33"/>
        <v>1000.207</v>
      </c>
    </row>
    <row r="146" spans="4:22" ht="12">
      <c r="D146" s="81">
        <v>40590</v>
      </c>
      <c r="E146" s="72">
        <f t="shared" si="30"/>
        <v>2451.5</v>
      </c>
      <c r="F146" s="59">
        <v>8244</v>
      </c>
      <c r="G146" s="70">
        <v>5218</v>
      </c>
      <c r="H146" s="73">
        <f t="shared" si="22"/>
        <v>13462</v>
      </c>
      <c r="I146" s="62">
        <f t="shared" si="23"/>
        <v>131.79196410361004</v>
      </c>
      <c r="J146" s="31">
        <f t="shared" si="24"/>
        <v>5.927083333333333</v>
      </c>
      <c r="K146" s="31">
        <f t="shared" si="25"/>
        <v>10.77651515151515</v>
      </c>
      <c r="L146" s="74">
        <f t="shared" si="26"/>
        <v>0.3876095676719655</v>
      </c>
      <c r="M146" s="31">
        <f t="shared" si="27"/>
        <v>142.25</v>
      </c>
      <c r="N146" s="64">
        <f t="shared" si="21"/>
        <v>6117.638799999999</v>
      </c>
      <c r="O146" s="45">
        <f t="shared" si="28"/>
        <v>5775.198</v>
      </c>
      <c r="P146" s="75">
        <v>21.7</v>
      </c>
      <c r="Q146" s="82"/>
      <c r="R146" s="11">
        <v>5673</v>
      </c>
      <c r="S146" s="11">
        <f t="shared" si="29"/>
        <v>129</v>
      </c>
      <c r="T146" s="67">
        <f t="shared" si="31"/>
        <v>32.25</v>
      </c>
      <c r="U146" s="67">
        <f t="shared" si="32"/>
        <v>33.36274509803921</v>
      </c>
      <c r="V146" s="79">
        <f t="shared" si="33"/>
        <v>1039.6165</v>
      </c>
    </row>
    <row r="147" spans="4:22" ht="12">
      <c r="D147" s="81">
        <v>40591</v>
      </c>
      <c r="E147" s="72">
        <f t="shared" si="30"/>
        <v>2475.5</v>
      </c>
      <c r="F147" s="59">
        <v>8323</v>
      </c>
      <c r="G147" s="70">
        <v>5266</v>
      </c>
      <c r="H147" s="73">
        <f t="shared" si="22"/>
        <v>13589</v>
      </c>
      <c r="I147" s="62">
        <f t="shared" si="23"/>
        <v>131.74550595839224</v>
      </c>
      <c r="J147" s="31">
        <f t="shared" si="24"/>
        <v>5.291666666666667</v>
      </c>
      <c r="K147" s="31">
        <f t="shared" si="25"/>
        <v>9.621212121212121</v>
      </c>
      <c r="L147" s="74">
        <f t="shared" si="26"/>
        <v>0.38751931709470894</v>
      </c>
      <c r="M147" s="31">
        <f t="shared" si="27"/>
        <v>127</v>
      </c>
      <c r="N147" s="64">
        <f t="shared" si="21"/>
        <v>6177.1826999999985</v>
      </c>
      <c r="O147" s="45">
        <f t="shared" si="28"/>
        <v>5829.6810000000005</v>
      </c>
      <c r="P147" s="75">
        <v>21.7</v>
      </c>
      <c r="Q147" s="82"/>
      <c r="R147" s="11">
        <v>5702</v>
      </c>
      <c r="S147" s="11">
        <f t="shared" si="29"/>
        <v>29</v>
      </c>
      <c r="T147" s="67">
        <f t="shared" si="31"/>
        <v>29</v>
      </c>
      <c r="U147" s="67">
        <f t="shared" si="32"/>
        <v>33.320388349514566</v>
      </c>
      <c r="V147" s="79">
        <f t="shared" si="33"/>
        <v>1048.4759999999999</v>
      </c>
    </row>
    <row r="148" spans="4:22" ht="12">
      <c r="D148" s="81">
        <v>40593</v>
      </c>
      <c r="E148" s="72">
        <f t="shared" si="30"/>
        <v>2523.5</v>
      </c>
      <c r="F148" s="59">
        <v>8472</v>
      </c>
      <c r="G148" s="70">
        <v>5354</v>
      </c>
      <c r="H148" s="73">
        <f t="shared" si="22"/>
        <v>13826</v>
      </c>
      <c r="I148" s="62">
        <f t="shared" si="23"/>
        <v>131.4935605310085</v>
      </c>
      <c r="J148" s="31">
        <f t="shared" si="24"/>
        <v>4.9375</v>
      </c>
      <c r="K148" s="31">
        <f t="shared" si="25"/>
        <v>8.977272727272727</v>
      </c>
      <c r="L148" s="74">
        <f t="shared" si="26"/>
        <v>0.38724142919137855</v>
      </c>
      <c r="M148" s="31">
        <f t="shared" si="27"/>
        <v>118.5</v>
      </c>
      <c r="N148" s="64">
        <f t="shared" si="21"/>
        <v>6288.713599999998</v>
      </c>
      <c r="O148" s="45">
        <f t="shared" si="28"/>
        <v>5931.354</v>
      </c>
      <c r="P148" s="75">
        <v>21.9</v>
      </c>
      <c r="Q148" s="82"/>
      <c r="R148" s="11">
        <v>5768</v>
      </c>
      <c r="S148" s="11">
        <f t="shared" si="29"/>
        <v>66</v>
      </c>
      <c r="T148" s="67">
        <f t="shared" si="31"/>
        <v>33</v>
      </c>
      <c r="U148" s="67">
        <f t="shared" si="32"/>
        <v>33.31428571428572</v>
      </c>
      <c r="V148" s="79">
        <f t="shared" si="33"/>
        <v>1068.639</v>
      </c>
    </row>
    <row r="149" spans="4:22" ht="12">
      <c r="D149" s="81">
        <v>40594</v>
      </c>
      <c r="E149" s="72">
        <f t="shared" si="30"/>
        <v>2547.5</v>
      </c>
      <c r="F149" s="59">
        <v>8559</v>
      </c>
      <c r="G149" s="70">
        <v>5400</v>
      </c>
      <c r="H149" s="73">
        <f t="shared" si="22"/>
        <v>13959</v>
      </c>
      <c r="I149" s="62">
        <f t="shared" si="23"/>
        <v>131.50775269872423</v>
      </c>
      <c r="J149" s="31">
        <f t="shared" si="24"/>
        <v>5.541666666666667</v>
      </c>
      <c r="K149" s="31">
        <f t="shared" si="25"/>
        <v>10.075757575757576</v>
      </c>
      <c r="L149" s="74">
        <f t="shared" si="26"/>
        <v>0.38684719535783363</v>
      </c>
      <c r="M149" s="31">
        <f t="shared" si="27"/>
        <v>133</v>
      </c>
      <c r="N149" s="64">
        <f t="shared" si="21"/>
        <v>6352.191299999999</v>
      </c>
      <c r="O149" s="45">
        <f t="shared" si="28"/>
        <v>5988.411000000001</v>
      </c>
      <c r="P149" s="75">
        <v>21.9</v>
      </c>
      <c r="Q149" s="82"/>
      <c r="R149" s="11">
        <v>5803</v>
      </c>
      <c r="S149" s="11">
        <f t="shared" si="29"/>
        <v>35</v>
      </c>
      <c r="T149" s="67">
        <f t="shared" si="31"/>
        <v>35</v>
      </c>
      <c r="U149" s="67">
        <f t="shared" si="32"/>
        <v>33.33018867924528</v>
      </c>
      <c r="V149" s="79">
        <f t="shared" si="33"/>
        <v>1079.3315</v>
      </c>
    </row>
    <row r="150" spans="4:22" ht="12">
      <c r="D150" s="81">
        <v>40595</v>
      </c>
      <c r="E150" s="72">
        <f t="shared" si="30"/>
        <v>2571.5</v>
      </c>
      <c r="F150" s="59">
        <v>8675</v>
      </c>
      <c r="G150" s="70">
        <v>5462</v>
      </c>
      <c r="H150" s="73">
        <f t="shared" si="22"/>
        <v>14137</v>
      </c>
      <c r="I150" s="62">
        <f t="shared" si="23"/>
        <v>131.941668286992</v>
      </c>
      <c r="J150" s="31">
        <f t="shared" si="24"/>
        <v>7.416666666666667</v>
      </c>
      <c r="K150" s="31">
        <f t="shared" si="25"/>
        <v>13.484848484848486</v>
      </c>
      <c r="L150" s="74">
        <f t="shared" si="26"/>
        <v>0.3863620287189644</v>
      </c>
      <c r="M150" s="31">
        <f t="shared" si="27"/>
        <v>178</v>
      </c>
      <c r="N150" s="64">
        <f t="shared" si="21"/>
        <v>6437.031899999999</v>
      </c>
      <c r="O150" s="45">
        <f t="shared" si="28"/>
        <v>6064.773000000001</v>
      </c>
      <c r="P150" s="75">
        <v>21.8</v>
      </c>
      <c r="Q150" s="82"/>
      <c r="R150" s="11">
        <v>5832</v>
      </c>
      <c r="S150" s="11">
        <f t="shared" si="29"/>
        <v>29</v>
      </c>
      <c r="T150" s="67">
        <f t="shared" si="31"/>
        <v>29</v>
      </c>
      <c r="U150" s="67">
        <f t="shared" si="32"/>
        <v>33.28971962616822</v>
      </c>
      <c r="V150" s="79">
        <f t="shared" si="33"/>
        <v>1088.191</v>
      </c>
    </row>
    <row r="151" spans="4:22" ht="12">
      <c r="D151" s="81">
        <v>40596</v>
      </c>
      <c r="E151" s="72">
        <f t="shared" si="30"/>
        <v>2595.5</v>
      </c>
      <c r="F151" s="59">
        <v>8792</v>
      </c>
      <c r="G151" s="70">
        <v>5532</v>
      </c>
      <c r="H151" s="73">
        <f t="shared" si="22"/>
        <v>14324</v>
      </c>
      <c r="I151" s="62">
        <f t="shared" si="23"/>
        <v>132.45078019649392</v>
      </c>
      <c r="J151" s="31">
        <f t="shared" si="24"/>
        <v>7.791666666666667</v>
      </c>
      <c r="K151" s="31">
        <f t="shared" si="25"/>
        <v>14.166666666666668</v>
      </c>
      <c r="L151" s="74">
        <f t="shared" si="26"/>
        <v>0.3862049706785814</v>
      </c>
      <c r="M151" s="31">
        <f t="shared" si="27"/>
        <v>187</v>
      </c>
      <c r="N151" s="64">
        <f t="shared" si="21"/>
        <v>6524.884599999999</v>
      </c>
      <c r="O151" s="45">
        <f t="shared" si="28"/>
        <v>6144.996000000001</v>
      </c>
      <c r="P151" s="75">
        <v>21.7</v>
      </c>
      <c r="Q151" s="82"/>
      <c r="R151" s="11">
        <v>5863</v>
      </c>
      <c r="S151" s="11">
        <f t="shared" si="29"/>
        <v>31</v>
      </c>
      <c r="T151" s="67">
        <f t="shared" si="31"/>
        <v>31</v>
      </c>
      <c r="U151" s="67">
        <f t="shared" si="32"/>
        <v>33.26851851851852</v>
      </c>
      <c r="V151" s="79">
        <f t="shared" si="33"/>
        <v>1097.6615</v>
      </c>
    </row>
    <row r="152" spans="4:22" ht="12">
      <c r="D152" s="81">
        <v>40597</v>
      </c>
      <c r="E152" s="72">
        <f t="shared" si="30"/>
        <v>2619.5</v>
      </c>
      <c r="F152" s="59">
        <v>8917</v>
      </c>
      <c r="G152" s="70">
        <v>5612</v>
      </c>
      <c r="H152" s="73">
        <f t="shared" si="22"/>
        <v>14529</v>
      </c>
      <c r="I152" s="62">
        <f t="shared" si="23"/>
        <v>133.1154800534453</v>
      </c>
      <c r="J152" s="31">
        <f t="shared" si="24"/>
        <v>8.541666666666666</v>
      </c>
      <c r="K152" s="31">
        <f t="shared" si="25"/>
        <v>15.53030303030303</v>
      </c>
      <c r="L152" s="74">
        <f t="shared" si="26"/>
        <v>0.38626195884093883</v>
      </c>
      <c r="M152" s="31">
        <f t="shared" si="27"/>
        <v>205</v>
      </c>
      <c r="N152" s="64">
        <f t="shared" si="21"/>
        <v>6620.3371</v>
      </c>
      <c r="O152" s="45">
        <f t="shared" si="28"/>
        <v>6232.941000000001</v>
      </c>
      <c r="P152" s="75">
        <v>21.7</v>
      </c>
      <c r="Q152" s="82"/>
      <c r="R152" s="11">
        <v>5901</v>
      </c>
      <c r="S152" s="11">
        <f t="shared" si="29"/>
        <v>38</v>
      </c>
      <c r="T152" s="67">
        <f t="shared" si="31"/>
        <v>38</v>
      </c>
      <c r="U152" s="67">
        <f t="shared" si="32"/>
        <v>33.31192660550459</v>
      </c>
      <c r="V152" s="79">
        <f t="shared" si="33"/>
        <v>1109.2705</v>
      </c>
    </row>
    <row r="153" spans="4:22" ht="12">
      <c r="D153" s="81">
        <v>40600</v>
      </c>
      <c r="E153" s="72">
        <f t="shared" si="30"/>
        <v>2691.5</v>
      </c>
      <c r="F153" s="59">
        <v>9232</v>
      </c>
      <c r="G153" s="70">
        <v>5834</v>
      </c>
      <c r="H153" s="73">
        <f t="shared" si="22"/>
        <v>15066</v>
      </c>
      <c r="I153" s="62">
        <f t="shared" si="23"/>
        <v>134.34293145086383</v>
      </c>
      <c r="J153" s="31">
        <f t="shared" si="24"/>
        <v>7.458333333333333</v>
      </c>
      <c r="K153" s="31">
        <f t="shared" si="25"/>
        <v>13.56060606060606</v>
      </c>
      <c r="L153" s="74">
        <f t="shared" si="26"/>
        <v>0.38722952343024025</v>
      </c>
      <c r="M153" s="31">
        <f t="shared" si="27"/>
        <v>179</v>
      </c>
      <c r="N153" s="64">
        <f t="shared" si="21"/>
        <v>6867.1096</v>
      </c>
      <c r="O153" s="45">
        <f t="shared" si="28"/>
        <v>6463.314</v>
      </c>
      <c r="P153" s="75">
        <v>21.8</v>
      </c>
      <c r="Q153" s="82"/>
      <c r="R153" s="11">
        <v>6016</v>
      </c>
      <c r="S153" s="11">
        <f t="shared" si="29"/>
        <v>115</v>
      </c>
      <c r="T153" s="67">
        <f t="shared" si="31"/>
        <v>38.333333333333336</v>
      </c>
      <c r="U153" s="67">
        <f t="shared" si="32"/>
        <v>33.44642857142857</v>
      </c>
      <c r="V153" s="79">
        <f t="shared" si="33"/>
        <v>1144.403</v>
      </c>
    </row>
    <row r="154" spans="4:22" ht="12">
      <c r="D154" s="81">
        <v>40602</v>
      </c>
      <c r="E154" s="72">
        <f t="shared" si="30"/>
        <v>2739.5</v>
      </c>
      <c r="F154" s="59">
        <v>9399</v>
      </c>
      <c r="G154" s="70">
        <v>5944</v>
      </c>
      <c r="H154" s="73">
        <f t="shared" si="22"/>
        <v>15343</v>
      </c>
      <c r="I154" s="62">
        <f t="shared" si="23"/>
        <v>134.41576930096733</v>
      </c>
      <c r="J154" s="31">
        <f t="shared" si="24"/>
        <v>5.770833333333333</v>
      </c>
      <c r="K154" s="31">
        <f t="shared" si="25"/>
        <v>10.492424242424242</v>
      </c>
      <c r="L154" s="74">
        <f t="shared" si="26"/>
        <v>0.387407938473571</v>
      </c>
      <c r="M154" s="31">
        <f t="shared" si="27"/>
        <v>138.5</v>
      </c>
      <c r="N154" s="64">
        <f t="shared" si="21"/>
        <v>6995.5873</v>
      </c>
      <c r="O154" s="45">
        <f t="shared" si="28"/>
        <v>6582.147000000001</v>
      </c>
      <c r="P154" s="75">
        <v>21.9</v>
      </c>
      <c r="Q154" s="82"/>
      <c r="R154" s="11">
        <v>6080</v>
      </c>
      <c r="S154" s="11">
        <f t="shared" si="29"/>
        <v>64</v>
      </c>
      <c r="T154" s="67">
        <f t="shared" si="31"/>
        <v>32</v>
      </c>
      <c r="U154" s="67">
        <f t="shared" si="32"/>
        <v>33.421052631578945</v>
      </c>
      <c r="V154" s="79">
        <f t="shared" si="33"/>
        <v>1163.955</v>
      </c>
    </row>
    <row r="155" spans="4:22" ht="12">
      <c r="D155" s="81">
        <v>40604</v>
      </c>
      <c r="E155" s="72">
        <f t="shared" si="30"/>
        <v>2787.5</v>
      </c>
      <c r="F155" s="59">
        <v>9549</v>
      </c>
      <c r="G155" s="70">
        <v>6043</v>
      </c>
      <c r="H155" s="73">
        <f t="shared" si="22"/>
        <v>15592</v>
      </c>
      <c r="I155" s="62">
        <f t="shared" si="23"/>
        <v>134.24502242152468</v>
      </c>
      <c r="J155" s="31">
        <f t="shared" si="24"/>
        <v>5.1875</v>
      </c>
      <c r="K155" s="31">
        <f t="shared" si="25"/>
        <v>9.431818181818182</v>
      </c>
      <c r="L155" s="74">
        <f t="shared" si="26"/>
        <v>0.3875705489994869</v>
      </c>
      <c r="M155" s="31">
        <f t="shared" si="27"/>
        <v>124.5</v>
      </c>
      <c r="N155" s="64">
        <f t="shared" si="21"/>
        <v>7111.0468</v>
      </c>
      <c r="O155" s="45">
        <f t="shared" si="28"/>
        <v>6688.968000000001</v>
      </c>
      <c r="P155" s="75">
        <v>21.9</v>
      </c>
      <c r="Q155" s="82"/>
      <c r="R155" s="11">
        <v>6146</v>
      </c>
      <c r="S155" s="11">
        <f t="shared" si="29"/>
        <v>66</v>
      </c>
      <c r="T155" s="67">
        <f t="shared" si="31"/>
        <v>33</v>
      </c>
      <c r="U155" s="67">
        <f t="shared" si="32"/>
        <v>33.41379310344828</v>
      </c>
      <c r="V155" s="79">
        <f t="shared" si="33"/>
        <v>1184.118</v>
      </c>
    </row>
    <row r="156" spans="4:22" ht="12">
      <c r="D156" s="81">
        <v>40606</v>
      </c>
      <c r="E156" s="72">
        <f t="shared" si="30"/>
        <v>2835.5</v>
      </c>
      <c r="F156" s="59">
        <v>9688</v>
      </c>
      <c r="G156" s="70">
        <v>6129</v>
      </c>
      <c r="H156" s="73">
        <f t="shared" si="22"/>
        <v>15817</v>
      </c>
      <c r="I156" s="62">
        <f t="shared" si="23"/>
        <v>133.8769176512079</v>
      </c>
      <c r="J156" s="31">
        <f t="shared" si="24"/>
        <v>4.6875</v>
      </c>
      <c r="K156" s="31">
        <f t="shared" si="25"/>
        <v>8.522727272727273</v>
      </c>
      <c r="L156" s="74">
        <f t="shared" si="26"/>
        <v>0.3874944679774926</v>
      </c>
      <c r="M156" s="31">
        <f t="shared" si="27"/>
        <v>112.5</v>
      </c>
      <c r="N156" s="64">
        <f t="shared" si="21"/>
        <v>7216.2857</v>
      </c>
      <c r="O156" s="45">
        <f t="shared" si="28"/>
        <v>6785.493</v>
      </c>
      <c r="P156" s="75">
        <v>21.9</v>
      </c>
      <c r="Q156" s="82"/>
      <c r="R156" s="11">
        <v>6209</v>
      </c>
      <c r="S156" s="11">
        <f t="shared" si="29"/>
        <v>63</v>
      </c>
      <c r="T156" s="67">
        <f t="shared" si="31"/>
        <v>31.5</v>
      </c>
      <c r="U156" s="67">
        <f t="shared" si="32"/>
        <v>33.38135593220339</v>
      </c>
      <c r="V156" s="79">
        <f t="shared" si="33"/>
        <v>1203.3645</v>
      </c>
    </row>
    <row r="157" spans="4:22" ht="12">
      <c r="D157" s="68">
        <v>40608</v>
      </c>
      <c r="E157" s="72">
        <f t="shared" si="30"/>
        <v>2883.5</v>
      </c>
      <c r="F157" s="59">
        <v>9819</v>
      </c>
      <c r="G157" s="70">
        <v>6212</v>
      </c>
      <c r="H157" s="73">
        <f t="shared" si="22"/>
        <v>16031</v>
      </c>
      <c r="I157" s="62">
        <f t="shared" si="23"/>
        <v>133.42951274492805</v>
      </c>
      <c r="J157" s="31">
        <f t="shared" si="24"/>
        <v>4.458333333333333</v>
      </c>
      <c r="K157" s="31">
        <f t="shared" si="25"/>
        <v>8.106060606060606</v>
      </c>
      <c r="L157" s="74">
        <f t="shared" si="26"/>
        <v>0.3874992202607448</v>
      </c>
      <c r="M157" s="31">
        <f t="shared" si="27"/>
        <v>107</v>
      </c>
      <c r="N157" s="64">
        <f t="shared" si="21"/>
        <v>7316.063300000001</v>
      </c>
      <c r="O157" s="45">
        <f t="shared" si="28"/>
        <v>6877.299000000001</v>
      </c>
      <c r="P157" s="75">
        <v>21.9</v>
      </c>
      <c r="Q157" s="85">
        <f>N157-N139</f>
        <v>1708.1064000000015</v>
      </c>
      <c r="R157" s="77">
        <v>6269</v>
      </c>
      <c r="S157" s="11">
        <f t="shared" si="29"/>
        <v>60</v>
      </c>
      <c r="T157" s="67">
        <f t="shared" si="31"/>
        <v>30</v>
      </c>
      <c r="U157" s="67">
        <f t="shared" si="32"/>
        <v>33.325</v>
      </c>
      <c r="V157" s="79">
        <f t="shared" si="33"/>
        <v>1221.6945</v>
      </c>
    </row>
    <row r="158" spans="4:22" ht="12">
      <c r="D158" s="81">
        <v>40609</v>
      </c>
      <c r="E158" s="72">
        <f t="shared" si="30"/>
        <v>2907.5</v>
      </c>
      <c r="F158" s="59">
        <v>9882</v>
      </c>
      <c r="G158" s="70">
        <v>6246</v>
      </c>
      <c r="H158" s="73">
        <f t="shared" si="22"/>
        <v>16128</v>
      </c>
      <c r="I158" s="62">
        <f t="shared" si="23"/>
        <v>133.12880481513326</v>
      </c>
      <c r="J158" s="31">
        <f t="shared" si="24"/>
        <v>4.041666666666667</v>
      </c>
      <c r="K158" s="31">
        <f t="shared" si="25"/>
        <v>7.348484848484849</v>
      </c>
      <c r="L158" s="74">
        <f t="shared" si="26"/>
        <v>0.3872767857142857</v>
      </c>
      <c r="M158" s="31">
        <f t="shared" si="27"/>
        <v>97</v>
      </c>
      <c r="N158" s="64">
        <f t="shared" si="21"/>
        <v>7362.240600000001</v>
      </c>
      <c r="O158" s="45">
        <f t="shared" si="28"/>
        <v>6918.912000000001</v>
      </c>
      <c r="P158" s="75">
        <v>21.9</v>
      </c>
      <c r="Q158" s="85"/>
      <c r="R158" s="11">
        <v>6298</v>
      </c>
      <c r="S158" s="11">
        <f>R158-R157</f>
        <v>29</v>
      </c>
      <c r="T158" s="67">
        <f t="shared" si="31"/>
        <v>29</v>
      </c>
      <c r="U158" s="67">
        <f t="shared" si="32"/>
        <v>33.289256198347104</v>
      </c>
      <c r="V158" s="79">
        <f t="shared" si="33"/>
        <v>1230.554</v>
      </c>
    </row>
    <row r="159" spans="4:22" ht="12">
      <c r="D159" s="81">
        <v>40611</v>
      </c>
      <c r="E159" s="72">
        <f t="shared" si="30"/>
        <v>2955.5</v>
      </c>
      <c r="F159" s="59">
        <v>10022</v>
      </c>
      <c r="G159" s="70">
        <v>6356</v>
      </c>
      <c r="H159" s="73">
        <f t="shared" si="22"/>
        <v>16378</v>
      </c>
      <c r="I159" s="62">
        <f t="shared" si="23"/>
        <v>132.9967856538657</v>
      </c>
      <c r="J159" s="31">
        <f t="shared" si="24"/>
        <v>5.208333333333333</v>
      </c>
      <c r="K159" s="31">
        <f t="shared" si="25"/>
        <v>9.469696969696969</v>
      </c>
      <c r="L159" s="74">
        <f t="shared" si="26"/>
        <v>0.3880815728416168</v>
      </c>
      <c r="M159" s="31">
        <f t="shared" si="27"/>
        <v>125</v>
      </c>
      <c r="N159" s="64">
        <f t="shared" si="21"/>
        <v>7475.379600000001</v>
      </c>
      <c r="O159" s="45">
        <f t="shared" si="28"/>
        <v>7026.162000000001</v>
      </c>
      <c r="P159" s="75">
        <v>21.9</v>
      </c>
      <c r="Q159" s="85"/>
      <c r="R159" s="11">
        <v>6351</v>
      </c>
      <c r="S159" s="11">
        <f t="shared" si="29"/>
        <v>53</v>
      </c>
      <c r="T159" s="67">
        <f t="shared" si="31"/>
        <v>26.5</v>
      </c>
      <c r="U159" s="67">
        <f t="shared" si="32"/>
        <v>33.17886178861789</v>
      </c>
      <c r="V159" s="79">
        <f t="shared" si="33"/>
        <v>1246.7455</v>
      </c>
    </row>
    <row r="160" spans="4:22" ht="12">
      <c r="D160" s="81">
        <v>40612</v>
      </c>
      <c r="E160" s="72">
        <f t="shared" si="30"/>
        <v>2979.5</v>
      </c>
      <c r="F160" s="59">
        <v>10088</v>
      </c>
      <c r="G160" s="70">
        <v>6398</v>
      </c>
      <c r="H160" s="73">
        <f t="shared" si="22"/>
        <v>16486</v>
      </c>
      <c r="I160" s="62">
        <f t="shared" si="23"/>
        <v>132.79543547575096</v>
      </c>
      <c r="J160" s="31">
        <f t="shared" si="24"/>
        <v>4.5</v>
      </c>
      <c r="K160" s="31">
        <f t="shared" si="25"/>
        <v>8.181818181818182</v>
      </c>
      <c r="L160" s="74">
        <f t="shared" si="26"/>
        <v>0.388086861579522</v>
      </c>
      <c r="M160" s="31">
        <f t="shared" si="27"/>
        <v>108</v>
      </c>
      <c r="N160" s="64">
        <f t="shared" si="21"/>
        <v>7525.705200000001</v>
      </c>
      <c r="O160" s="45">
        <f t="shared" si="28"/>
        <v>7072.494000000001</v>
      </c>
      <c r="P160" s="75">
        <v>21.9</v>
      </c>
      <c r="Q160" s="85"/>
      <c r="R160" s="11">
        <v>6383</v>
      </c>
      <c r="S160" s="11">
        <f t="shared" si="29"/>
        <v>32</v>
      </c>
      <c r="T160" s="67">
        <f t="shared" si="31"/>
        <v>32</v>
      </c>
      <c r="U160" s="67">
        <f t="shared" si="32"/>
        <v>33.16935483870968</v>
      </c>
      <c r="V160" s="79">
        <f t="shared" si="33"/>
        <v>1256.5215</v>
      </c>
    </row>
    <row r="161" spans="4:22" ht="12">
      <c r="D161" s="81">
        <v>40613</v>
      </c>
      <c r="E161" s="72">
        <f t="shared" si="30"/>
        <v>3003.5</v>
      </c>
      <c r="F161" s="59">
        <v>10140</v>
      </c>
      <c r="G161" s="70">
        <v>6432</v>
      </c>
      <c r="H161" s="73">
        <f t="shared" si="22"/>
        <v>16572</v>
      </c>
      <c r="I161" s="62">
        <f t="shared" si="23"/>
        <v>132.42150824038623</v>
      </c>
      <c r="J161" s="31">
        <f t="shared" si="24"/>
        <v>3.5833333333333335</v>
      </c>
      <c r="K161" s="31">
        <f t="shared" si="25"/>
        <v>6.515151515151516</v>
      </c>
      <c r="L161" s="74">
        <f t="shared" si="26"/>
        <v>0.388124547429399</v>
      </c>
      <c r="M161" s="31">
        <f t="shared" si="27"/>
        <v>86</v>
      </c>
      <c r="N161" s="64">
        <f t="shared" si="21"/>
        <v>7565.6334000000015</v>
      </c>
      <c r="O161" s="45">
        <f t="shared" si="28"/>
        <v>7109.388000000001</v>
      </c>
      <c r="P161" s="75">
        <v>22.2</v>
      </c>
      <c r="Q161" s="85"/>
      <c r="R161" s="11">
        <v>6415</v>
      </c>
      <c r="S161" s="11">
        <f t="shared" si="29"/>
        <v>32</v>
      </c>
      <c r="T161" s="67">
        <f t="shared" si="31"/>
        <v>32</v>
      </c>
      <c r="U161" s="67">
        <f t="shared" si="32"/>
        <v>33.16</v>
      </c>
      <c r="V161" s="79">
        <f t="shared" si="33"/>
        <v>1266.2975</v>
      </c>
    </row>
    <row r="162" spans="4:22" ht="12">
      <c r="D162" s="81">
        <v>40614</v>
      </c>
      <c r="E162" s="72">
        <f t="shared" si="30"/>
        <v>3027.5</v>
      </c>
      <c r="F162" s="59">
        <v>10180</v>
      </c>
      <c r="G162" s="70">
        <v>6464</v>
      </c>
      <c r="H162" s="73">
        <f t="shared" si="22"/>
        <v>16644</v>
      </c>
      <c r="I162" s="62">
        <f t="shared" si="23"/>
        <v>131.94252683732452</v>
      </c>
      <c r="J162" s="31">
        <f t="shared" si="24"/>
        <v>3</v>
      </c>
      <c r="K162" s="31">
        <f t="shared" si="25"/>
        <v>5.454545454545454</v>
      </c>
      <c r="L162" s="74">
        <f t="shared" si="26"/>
        <v>0.38836818072578705</v>
      </c>
      <c r="M162" s="31">
        <f t="shared" si="27"/>
        <v>72</v>
      </c>
      <c r="N162" s="64">
        <f t="shared" si="21"/>
        <v>7598.1334000000015</v>
      </c>
      <c r="O162" s="45">
        <f t="shared" si="28"/>
        <v>7140.276000000001</v>
      </c>
      <c r="P162" s="75">
        <v>22.2</v>
      </c>
      <c r="Q162" s="85"/>
      <c r="R162" s="11">
        <v>6446</v>
      </c>
      <c r="S162" s="11">
        <f t="shared" si="29"/>
        <v>31</v>
      </c>
      <c r="T162" s="67">
        <f t="shared" si="31"/>
        <v>31</v>
      </c>
      <c r="U162" s="67">
        <f t="shared" si="32"/>
        <v>33.142857142857146</v>
      </c>
      <c r="V162" s="79">
        <f t="shared" si="33"/>
        <v>1275.768</v>
      </c>
    </row>
    <row r="163" spans="4:22" ht="12">
      <c r="D163" s="81">
        <v>40615</v>
      </c>
      <c r="E163" s="72">
        <f t="shared" si="30"/>
        <v>3051.5</v>
      </c>
      <c r="F163" s="59">
        <v>10216</v>
      </c>
      <c r="G163" s="70">
        <v>6489</v>
      </c>
      <c r="H163" s="73">
        <f t="shared" si="22"/>
        <v>16705</v>
      </c>
      <c r="I163" s="62">
        <f t="shared" si="23"/>
        <v>131.3845649680485</v>
      </c>
      <c r="J163" s="31">
        <f t="shared" si="24"/>
        <v>2.5416666666666665</v>
      </c>
      <c r="K163" s="31">
        <f t="shared" si="25"/>
        <v>4.621212121212121</v>
      </c>
      <c r="L163" s="74">
        <f t="shared" si="26"/>
        <v>0.38844657288237056</v>
      </c>
      <c r="M163" s="31">
        <f t="shared" si="27"/>
        <v>61</v>
      </c>
      <c r="N163" s="64">
        <f t="shared" si="21"/>
        <v>7626.222500000002</v>
      </c>
      <c r="O163" s="45">
        <f t="shared" si="28"/>
        <v>7166.445000000001</v>
      </c>
      <c r="P163" s="75">
        <v>22.3</v>
      </c>
      <c r="Q163" s="85"/>
      <c r="R163" s="11">
        <v>6478</v>
      </c>
      <c r="S163" s="11">
        <f t="shared" si="29"/>
        <v>32</v>
      </c>
      <c r="T163" s="67">
        <f t="shared" si="31"/>
        <v>32</v>
      </c>
      <c r="U163" s="67">
        <f t="shared" si="32"/>
        <v>33.13385826771653</v>
      </c>
      <c r="V163" s="79">
        <f t="shared" si="33"/>
        <v>1285.5439999999999</v>
      </c>
    </row>
    <row r="164" spans="4:22" ht="12">
      <c r="D164" s="81">
        <v>40616</v>
      </c>
      <c r="E164" s="72">
        <f t="shared" si="30"/>
        <v>3075.5</v>
      </c>
      <c r="F164" s="59">
        <v>10242</v>
      </c>
      <c r="G164" s="70">
        <v>6507</v>
      </c>
      <c r="H164" s="73">
        <f t="shared" si="22"/>
        <v>16749</v>
      </c>
      <c r="I164" s="62">
        <f t="shared" si="23"/>
        <v>130.70264997561372</v>
      </c>
      <c r="J164" s="31">
        <f t="shared" si="24"/>
        <v>1.8333333333333333</v>
      </c>
      <c r="K164" s="31">
        <f t="shared" si="25"/>
        <v>3.333333333333333</v>
      </c>
      <c r="L164" s="74">
        <f t="shared" si="26"/>
        <v>0.38850080601826975</v>
      </c>
      <c r="M164" s="31">
        <f t="shared" si="27"/>
        <v>44</v>
      </c>
      <c r="N164" s="64">
        <f t="shared" si="21"/>
        <v>7646.492100000001</v>
      </c>
      <c r="O164" s="45">
        <f t="shared" si="28"/>
        <v>7185.321000000001</v>
      </c>
      <c r="P164" s="75">
        <v>22.3</v>
      </c>
      <c r="Q164" s="85"/>
      <c r="R164" s="11">
        <v>6504</v>
      </c>
      <c r="S164" s="11">
        <f t="shared" si="29"/>
        <v>26</v>
      </c>
      <c r="T164" s="67">
        <f t="shared" si="31"/>
        <v>26</v>
      </c>
      <c r="U164" s="67">
        <f t="shared" si="32"/>
        <v>33.078125</v>
      </c>
      <c r="V164" s="79">
        <f t="shared" si="33"/>
        <v>1293.487</v>
      </c>
    </row>
    <row r="165" spans="4:22" ht="12">
      <c r="D165" s="81">
        <v>40617</v>
      </c>
      <c r="E165" s="72">
        <f t="shared" si="30"/>
        <v>3099.5</v>
      </c>
      <c r="F165" s="59">
        <v>10266</v>
      </c>
      <c r="G165" s="70">
        <v>6519</v>
      </c>
      <c r="H165" s="73">
        <f t="shared" si="22"/>
        <v>16785</v>
      </c>
      <c r="I165" s="62">
        <f t="shared" si="23"/>
        <v>129.96934989514438</v>
      </c>
      <c r="J165" s="31">
        <f t="shared" si="24"/>
        <v>1.5</v>
      </c>
      <c r="K165" s="31">
        <f t="shared" si="25"/>
        <v>2.727272727272727</v>
      </c>
      <c r="L165" s="74">
        <f t="shared" si="26"/>
        <v>0.3883824843610366</v>
      </c>
      <c r="M165" s="31">
        <f t="shared" si="27"/>
        <v>36</v>
      </c>
      <c r="N165" s="64">
        <f t="shared" si="21"/>
        <v>7663.792500000001</v>
      </c>
      <c r="O165" s="45">
        <f t="shared" si="28"/>
        <v>7200.765000000001</v>
      </c>
      <c r="P165" s="75">
        <v>22.3</v>
      </c>
      <c r="Q165" s="85"/>
      <c r="R165" s="11">
        <v>6531</v>
      </c>
      <c r="S165" s="11">
        <f>R165-R164</f>
        <v>27</v>
      </c>
      <c r="T165" s="67">
        <f t="shared" si="31"/>
        <v>27</v>
      </c>
      <c r="U165" s="67">
        <f t="shared" si="32"/>
        <v>33.031007751937985</v>
      </c>
      <c r="V165" s="79">
        <f t="shared" si="33"/>
        <v>1301.7355</v>
      </c>
    </row>
    <row r="166" spans="4:22" ht="12">
      <c r="D166" s="81">
        <v>40618</v>
      </c>
      <c r="E166" s="72">
        <f t="shared" si="30"/>
        <v>3123.5</v>
      </c>
      <c r="F166" s="59">
        <v>10298</v>
      </c>
      <c r="G166" s="70">
        <v>6542</v>
      </c>
      <c r="H166" s="73">
        <f t="shared" si="22"/>
        <v>16840</v>
      </c>
      <c r="I166" s="62">
        <f t="shared" si="23"/>
        <v>129.39330878821835</v>
      </c>
      <c r="J166" s="31">
        <f t="shared" si="24"/>
        <v>2.2916666666666665</v>
      </c>
      <c r="K166" s="31">
        <f t="shared" si="25"/>
        <v>4.166666666666666</v>
      </c>
      <c r="L166" s="74">
        <f t="shared" si="26"/>
        <v>0.38847980997624704</v>
      </c>
      <c r="M166" s="31">
        <f t="shared" si="27"/>
        <v>55</v>
      </c>
      <c r="N166" s="64">
        <f t="shared" si="21"/>
        <v>7688.998200000002</v>
      </c>
      <c r="O166" s="45">
        <f t="shared" si="28"/>
        <v>7224.360000000001</v>
      </c>
      <c r="P166" s="75">
        <v>22.3</v>
      </c>
      <c r="Q166" s="85"/>
      <c r="R166" s="11">
        <v>6561</v>
      </c>
      <c r="S166" s="11">
        <f t="shared" si="29"/>
        <v>30</v>
      </c>
      <c r="T166" s="67">
        <f t="shared" si="31"/>
        <v>30</v>
      </c>
      <c r="U166" s="67">
        <f t="shared" si="32"/>
        <v>33.00769230769231</v>
      </c>
      <c r="V166" s="79">
        <f t="shared" si="33"/>
        <v>1310.9005</v>
      </c>
    </row>
    <row r="167" spans="4:22" ht="12">
      <c r="D167" s="81">
        <v>40620</v>
      </c>
      <c r="E167" s="72">
        <f t="shared" si="30"/>
        <v>3171.5</v>
      </c>
      <c r="F167" s="59">
        <v>10393</v>
      </c>
      <c r="G167" s="70">
        <v>6598</v>
      </c>
      <c r="H167" s="73">
        <f t="shared" si="22"/>
        <v>16991</v>
      </c>
      <c r="I167" s="62">
        <f t="shared" si="23"/>
        <v>128.57764464764307</v>
      </c>
      <c r="J167" s="31">
        <f t="shared" si="24"/>
        <v>3.1458333333333335</v>
      </c>
      <c r="K167" s="31">
        <f t="shared" si="25"/>
        <v>5.71969696969697</v>
      </c>
      <c r="L167" s="74">
        <f t="shared" si="26"/>
        <v>0.38832322994526514</v>
      </c>
      <c r="M167" s="31">
        <f t="shared" si="27"/>
        <v>75.5</v>
      </c>
      <c r="N167" s="64">
        <f t="shared" si="21"/>
        <v>7760.075700000002</v>
      </c>
      <c r="O167" s="45">
        <f t="shared" si="28"/>
        <v>7289.139000000001</v>
      </c>
      <c r="P167" s="75">
        <v>22.3</v>
      </c>
      <c r="Q167" s="85"/>
      <c r="R167" s="11">
        <v>6630</v>
      </c>
      <c r="S167" s="11">
        <f t="shared" si="29"/>
        <v>69</v>
      </c>
      <c r="T167" s="67">
        <f t="shared" si="31"/>
        <v>34.5</v>
      </c>
      <c r="U167" s="67">
        <f t="shared" si="32"/>
        <v>33.03030303030303</v>
      </c>
      <c r="V167" s="79">
        <f t="shared" si="33"/>
        <v>1331.98</v>
      </c>
    </row>
    <row r="168" spans="4:22" ht="12">
      <c r="D168" s="81">
        <v>40621</v>
      </c>
      <c r="E168" s="72">
        <f t="shared" si="30"/>
        <v>3195.5</v>
      </c>
      <c r="F168" s="59">
        <v>10458</v>
      </c>
      <c r="G168" s="70">
        <v>6631</v>
      </c>
      <c r="H168" s="73">
        <f t="shared" si="22"/>
        <v>17089</v>
      </c>
      <c r="I168" s="62">
        <f t="shared" si="23"/>
        <v>128.34798936003756</v>
      </c>
      <c r="J168" s="31">
        <f t="shared" si="24"/>
        <v>4.083333333333333</v>
      </c>
      <c r="K168" s="31">
        <f t="shared" si="25"/>
        <v>7.424242424242424</v>
      </c>
      <c r="L168" s="74">
        <f t="shared" si="26"/>
        <v>0.38802738603780207</v>
      </c>
      <c r="M168" s="31">
        <f t="shared" si="27"/>
        <v>98</v>
      </c>
      <c r="N168" s="64">
        <f t="shared" si="21"/>
        <v>7807.083700000002</v>
      </c>
      <c r="O168" s="45">
        <f t="shared" si="28"/>
        <v>7331.1810000000005</v>
      </c>
      <c r="P168" s="75">
        <v>22.3</v>
      </c>
      <c r="Q168" s="85"/>
      <c r="R168" s="11">
        <v>6666</v>
      </c>
      <c r="S168" s="11">
        <f t="shared" si="29"/>
        <v>36</v>
      </c>
      <c r="T168" s="67">
        <f t="shared" si="31"/>
        <v>36</v>
      </c>
      <c r="U168" s="67">
        <f t="shared" si="32"/>
        <v>33.05263157894737</v>
      </c>
      <c r="V168" s="79">
        <f t="shared" si="33"/>
        <v>1342.978</v>
      </c>
    </row>
    <row r="169" spans="4:22" ht="12">
      <c r="D169" s="81">
        <v>40624</v>
      </c>
      <c r="E169" s="72">
        <f t="shared" si="30"/>
        <v>3267.5</v>
      </c>
      <c r="F169" s="59">
        <v>10626</v>
      </c>
      <c r="G169" s="70">
        <v>6735</v>
      </c>
      <c r="H169" s="73">
        <f t="shared" si="22"/>
        <v>17361</v>
      </c>
      <c r="I169" s="62">
        <f t="shared" si="23"/>
        <v>127.5176740627391</v>
      </c>
      <c r="J169" s="31">
        <f t="shared" si="24"/>
        <v>3.7777777777777777</v>
      </c>
      <c r="K169" s="31">
        <f t="shared" si="25"/>
        <v>6.8686868686868685</v>
      </c>
      <c r="L169" s="74">
        <f t="shared" si="26"/>
        <v>0.38793848280628995</v>
      </c>
      <c r="M169" s="31">
        <f t="shared" si="27"/>
        <v>90.66666666666666</v>
      </c>
      <c r="N169" s="64">
        <f t="shared" si="21"/>
        <v>7934.296500000002</v>
      </c>
      <c r="O169" s="45">
        <f t="shared" si="28"/>
        <v>7447.869000000001</v>
      </c>
      <c r="P169" s="75">
        <v>22.3</v>
      </c>
      <c r="Q169" s="85"/>
      <c r="R169" s="11">
        <v>6760</v>
      </c>
      <c r="S169" s="11">
        <f t="shared" si="29"/>
        <v>94</v>
      </c>
      <c r="T169" s="67">
        <f t="shared" si="31"/>
        <v>31.333333333333332</v>
      </c>
      <c r="U169" s="67">
        <f t="shared" si="32"/>
        <v>33.01470588235294</v>
      </c>
      <c r="V169" s="79">
        <f t="shared" si="33"/>
        <v>1371.695</v>
      </c>
    </row>
    <row r="170" spans="4:22" ht="12">
      <c r="D170" s="81">
        <v>40631</v>
      </c>
      <c r="E170" s="72">
        <f t="shared" si="30"/>
        <v>3435.5</v>
      </c>
      <c r="F170" s="59">
        <v>10933</v>
      </c>
      <c r="G170" s="70">
        <v>6926</v>
      </c>
      <c r="H170" s="73">
        <f t="shared" si="22"/>
        <v>17859</v>
      </c>
      <c r="I170" s="62">
        <f t="shared" si="23"/>
        <v>124.76087905690584</v>
      </c>
      <c r="J170" s="31">
        <f t="shared" si="24"/>
        <v>2.9642857142857144</v>
      </c>
      <c r="K170" s="31">
        <f t="shared" si="25"/>
        <v>5.3896103896103895</v>
      </c>
      <c r="L170" s="74">
        <f t="shared" si="26"/>
        <v>0.3878156671706143</v>
      </c>
      <c r="M170" s="31">
        <f t="shared" si="27"/>
        <v>71.14285714285714</v>
      </c>
      <c r="N170" s="64">
        <f t="shared" si="21"/>
        <v>8167.053700000002</v>
      </c>
      <c r="O170" s="45">
        <f t="shared" si="28"/>
        <v>7661.511</v>
      </c>
      <c r="P170" s="75">
        <v>22.3</v>
      </c>
      <c r="Q170" s="85"/>
      <c r="R170" s="11">
        <v>6974</v>
      </c>
      <c r="S170" s="11">
        <f t="shared" si="29"/>
        <v>214</v>
      </c>
      <c r="T170" s="67">
        <f t="shared" si="31"/>
        <v>30.571428571428573</v>
      </c>
      <c r="U170" s="67">
        <f t="shared" si="32"/>
        <v>32.89510489510489</v>
      </c>
      <c r="V170" s="79">
        <f t="shared" si="33"/>
        <v>1437.072</v>
      </c>
    </row>
    <row r="171" spans="4:22" ht="12">
      <c r="D171" s="81">
        <v>40633</v>
      </c>
      <c r="E171" s="72">
        <f t="shared" si="30"/>
        <v>3483.5</v>
      </c>
      <c r="F171" s="59">
        <v>11002</v>
      </c>
      <c r="G171" s="70">
        <v>6981</v>
      </c>
      <c r="H171" s="73">
        <f t="shared" si="22"/>
        <v>17983</v>
      </c>
      <c r="I171" s="62">
        <f t="shared" si="23"/>
        <v>123.89608152719966</v>
      </c>
      <c r="J171" s="31">
        <f t="shared" si="24"/>
        <v>2.5833333333333335</v>
      </c>
      <c r="K171" s="31">
        <f t="shared" si="25"/>
        <v>4.696969696969697</v>
      </c>
      <c r="L171" s="74">
        <f t="shared" si="26"/>
        <v>0.38819996663515544</v>
      </c>
      <c r="M171" s="31">
        <f t="shared" si="27"/>
        <v>62</v>
      </c>
      <c r="N171" s="64">
        <f t="shared" si="21"/>
        <v>8223.055100000001</v>
      </c>
      <c r="O171" s="45">
        <f t="shared" si="28"/>
        <v>7714.707000000001</v>
      </c>
      <c r="P171" s="75">
        <v>22.3</v>
      </c>
      <c r="Q171" s="85"/>
      <c r="R171" s="11">
        <v>7016</v>
      </c>
      <c r="S171" s="11">
        <f t="shared" si="29"/>
        <v>42</v>
      </c>
      <c r="T171" s="67">
        <f t="shared" si="31"/>
        <v>21</v>
      </c>
      <c r="U171" s="67">
        <f t="shared" si="32"/>
        <v>32.73103448275862</v>
      </c>
      <c r="V171" s="79">
        <f t="shared" si="33"/>
        <v>1449.903</v>
      </c>
    </row>
    <row r="172" spans="4:22" ht="12">
      <c r="D172" s="81">
        <v>40637</v>
      </c>
      <c r="E172" s="72">
        <f t="shared" si="30"/>
        <v>3579.5</v>
      </c>
      <c r="F172" s="59">
        <v>11110</v>
      </c>
      <c r="G172" s="70">
        <v>7052</v>
      </c>
      <c r="H172" s="73">
        <f t="shared" si="22"/>
        <v>18162</v>
      </c>
      <c r="I172" s="62">
        <f t="shared" si="23"/>
        <v>121.7734320435815</v>
      </c>
      <c r="J172" s="31">
        <f t="shared" si="24"/>
        <v>1.8645833333333333</v>
      </c>
      <c r="K172" s="31">
        <f t="shared" si="25"/>
        <v>3.390151515151515</v>
      </c>
      <c r="L172" s="74">
        <f t="shared" si="26"/>
        <v>0.38828322871930404</v>
      </c>
      <c r="M172" s="31">
        <f t="shared" si="27"/>
        <v>44.75</v>
      </c>
      <c r="N172" s="64">
        <f t="shared" si="21"/>
        <v>8306.100400000001</v>
      </c>
      <c r="O172" s="45">
        <f t="shared" si="28"/>
        <v>7791.4980000000005</v>
      </c>
      <c r="P172" s="75">
        <v>22.3</v>
      </c>
      <c r="Q172" s="85"/>
      <c r="R172" s="11">
        <v>7134</v>
      </c>
      <c r="S172" s="11">
        <f t="shared" si="29"/>
        <v>118</v>
      </c>
      <c r="T172" s="67">
        <f t="shared" si="31"/>
        <v>29.5</v>
      </c>
      <c r="U172" s="67">
        <f t="shared" si="32"/>
        <v>32.644295302013425</v>
      </c>
      <c r="V172" s="79">
        <f aca="true" t="shared" si="34" ref="V172:V189">(R172-$R$62)*$K$8</f>
        <v>1485.952</v>
      </c>
    </row>
    <row r="173" spans="4:22" ht="12">
      <c r="D173" s="81">
        <v>40638</v>
      </c>
      <c r="E173" s="72">
        <f t="shared" si="30"/>
        <v>3603.5</v>
      </c>
      <c r="F173" s="59">
        <v>11140</v>
      </c>
      <c r="G173" s="70">
        <v>7072</v>
      </c>
      <c r="H173" s="73">
        <f t="shared" si="22"/>
        <v>18212</v>
      </c>
      <c r="I173" s="62">
        <f t="shared" si="23"/>
        <v>121.29540724295825</v>
      </c>
      <c r="J173" s="31">
        <f t="shared" si="24"/>
        <v>2.0833333333333335</v>
      </c>
      <c r="K173" s="31">
        <f t="shared" si="25"/>
        <v>3.787878787878788</v>
      </c>
      <c r="L173" s="74">
        <f t="shared" si="26"/>
        <v>0.38831539644190644</v>
      </c>
      <c r="M173" s="31">
        <f t="shared" si="27"/>
        <v>50</v>
      </c>
      <c r="N173" s="64">
        <f t="shared" si="21"/>
        <v>8329.253400000001</v>
      </c>
      <c r="O173" s="45">
        <f t="shared" si="28"/>
        <v>7812.948000000001</v>
      </c>
      <c r="P173" s="75">
        <v>22.3</v>
      </c>
      <c r="Q173" s="85"/>
      <c r="R173" s="11">
        <v>7162</v>
      </c>
      <c r="S173" s="11">
        <f t="shared" si="29"/>
        <v>28</v>
      </c>
      <c r="T173" s="67">
        <f t="shared" si="31"/>
        <v>28</v>
      </c>
      <c r="U173" s="67">
        <f t="shared" si="32"/>
        <v>32.61333333333334</v>
      </c>
      <c r="V173" s="79">
        <f t="shared" si="34"/>
        <v>1494.5059999999999</v>
      </c>
    </row>
    <row r="174" spans="1:22" ht="12">
      <c r="A174" s="136" t="s">
        <v>85</v>
      </c>
      <c r="B174" s="137"/>
      <c r="C174" s="137"/>
      <c r="D174" s="68">
        <v>40639</v>
      </c>
      <c r="E174" s="72">
        <f t="shared" si="30"/>
        <v>3627.5</v>
      </c>
      <c r="F174" s="59">
        <v>11171</v>
      </c>
      <c r="G174" s="70">
        <v>7097</v>
      </c>
      <c r="H174" s="73">
        <f t="shared" si="22"/>
        <v>18268</v>
      </c>
      <c r="I174" s="62">
        <f t="shared" si="23"/>
        <v>120.86340454858718</v>
      </c>
      <c r="J174" s="31">
        <f t="shared" si="24"/>
        <v>2.3333333333333335</v>
      </c>
      <c r="K174" s="31">
        <f t="shared" si="25"/>
        <v>4.242424242424243</v>
      </c>
      <c r="L174" s="74">
        <f t="shared" si="26"/>
        <v>0.38849354061747315</v>
      </c>
      <c r="M174" s="31">
        <f t="shared" si="27"/>
        <v>56</v>
      </c>
      <c r="N174" s="64">
        <f aca="true" t="shared" si="35" ref="N174:N197">N173+((F174-F173)*$K$7+(G174-G173)*$K$8)</f>
        <v>8354.502000000002</v>
      </c>
      <c r="O174" s="45">
        <f t="shared" si="28"/>
        <v>7836.972000000001</v>
      </c>
      <c r="P174" s="75">
        <v>22.3</v>
      </c>
      <c r="Q174" s="85">
        <f>N174-N157</f>
        <v>1038.4387000000015</v>
      </c>
      <c r="R174" s="77">
        <v>7192</v>
      </c>
      <c r="S174" s="11">
        <f t="shared" si="29"/>
        <v>30</v>
      </c>
      <c r="T174" s="67">
        <f t="shared" si="31"/>
        <v>30</v>
      </c>
      <c r="U174" s="67">
        <f t="shared" si="32"/>
        <v>32.59602649006622</v>
      </c>
      <c r="V174" s="78">
        <f t="shared" si="34"/>
        <v>1503.671</v>
      </c>
    </row>
    <row r="175" spans="1:22" ht="12">
      <c r="A175" s="137"/>
      <c r="B175" s="137"/>
      <c r="C175" s="137"/>
      <c r="D175" s="81">
        <v>40641</v>
      </c>
      <c r="E175" s="72">
        <f t="shared" si="30"/>
        <v>3675.5</v>
      </c>
      <c r="F175" s="59">
        <v>11229</v>
      </c>
      <c r="G175" s="70">
        <v>7126</v>
      </c>
      <c r="H175" s="73">
        <f t="shared" si="22"/>
        <v>18355</v>
      </c>
      <c r="I175" s="62">
        <f t="shared" si="23"/>
        <v>119.85308121344035</v>
      </c>
      <c r="J175" s="31">
        <f t="shared" si="24"/>
        <v>1.8125</v>
      </c>
      <c r="K175" s="31">
        <f t="shared" si="25"/>
        <v>3.2954545454545454</v>
      </c>
      <c r="L175" s="74">
        <f t="shared" si="26"/>
        <v>0.38823208934895126</v>
      </c>
      <c r="M175" s="31">
        <f t="shared" si="27"/>
        <v>43.5</v>
      </c>
      <c r="N175" s="64">
        <f t="shared" si="35"/>
        <v>8396.311300000003</v>
      </c>
      <c r="O175" s="45">
        <f t="shared" si="28"/>
        <v>7874.295000000001</v>
      </c>
      <c r="P175" s="75">
        <v>22.3</v>
      </c>
      <c r="Q175" s="85"/>
      <c r="R175" s="11">
        <v>7251</v>
      </c>
      <c r="S175" s="11">
        <f t="shared" si="29"/>
        <v>59</v>
      </c>
      <c r="T175" s="67">
        <f t="shared" si="31"/>
        <v>29.5</v>
      </c>
      <c r="U175" s="67">
        <f t="shared" si="32"/>
        <v>32.55555555555556</v>
      </c>
      <c r="V175" s="67">
        <f t="shared" si="34"/>
        <v>1521.6955</v>
      </c>
    </row>
    <row r="176" spans="4:22" ht="12">
      <c r="D176" s="81">
        <v>40649</v>
      </c>
      <c r="E176" s="72">
        <f t="shared" si="30"/>
        <v>3867.5</v>
      </c>
      <c r="F176" s="59">
        <v>11512</v>
      </c>
      <c r="G176" s="70">
        <v>7330</v>
      </c>
      <c r="H176" s="73">
        <f t="shared" si="22"/>
        <v>18842</v>
      </c>
      <c r="I176" s="62">
        <f t="shared" si="23"/>
        <v>116.92514544279248</v>
      </c>
      <c r="J176" s="31">
        <f t="shared" si="24"/>
        <v>2.5364583333333335</v>
      </c>
      <c r="K176" s="31">
        <f t="shared" si="25"/>
        <v>4.611742424242425</v>
      </c>
      <c r="L176" s="74">
        <f t="shared" si="26"/>
        <v>0.38902451969005414</v>
      </c>
      <c r="M176" s="31">
        <f t="shared" si="27"/>
        <v>60.875</v>
      </c>
      <c r="N176" s="64">
        <f t="shared" si="35"/>
        <v>8619.405600000004</v>
      </c>
      <c r="O176" s="45">
        <f t="shared" si="28"/>
        <v>8083.218000000001</v>
      </c>
      <c r="P176" s="75">
        <v>22.3</v>
      </c>
      <c r="Q176" s="85"/>
      <c r="R176" s="11">
        <v>7472</v>
      </c>
      <c r="S176" s="11">
        <f t="shared" si="29"/>
        <v>221</v>
      </c>
      <c r="T176" s="67">
        <f t="shared" si="31"/>
        <v>27.625</v>
      </c>
      <c r="U176" s="67">
        <f t="shared" si="32"/>
        <v>32.31055900621118</v>
      </c>
      <c r="V176" s="67">
        <f t="shared" si="34"/>
        <v>1589.211</v>
      </c>
    </row>
    <row r="177" spans="2:22" ht="12">
      <c r="B177" s="113">
        <f>N189</f>
        <v>9189.811800000005</v>
      </c>
      <c r="D177" s="81">
        <v>40651</v>
      </c>
      <c r="E177" s="72">
        <f t="shared" si="30"/>
        <v>3915.5</v>
      </c>
      <c r="F177" s="59">
        <v>11578</v>
      </c>
      <c r="G177" s="70">
        <v>7379</v>
      </c>
      <c r="H177" s="73">
        <f t="shared" si="22"/>
        <v>18957</v>
      </c>
      <c r="I177" s="62">
        <f t="shared" si="23"/>
        <v>116.19665432256417</v>
      </c>
      <c r="J177" s="31">
        <f t="shared" si="24"/>
        <v>2.3958333333333335</v>
      </c>
      <c r="K177" s="31">
        <f t="shared" si="25"/>
        <v>4.356060606060606</v>
      </c>
      <c r="L177" s="74">
        <f t="shared" si="26"/>
        <v>0.38924935380070685</v>
      </c>
      <c r="M177" s="31">
        <f t="shared" si="27"/>
        <v>57.5</v>
      </c>
      <c r="N177" s="64">
        <f t="shared" si="35"/>
        <v>8671.869700000003</v>
      </c>
      <c r="O177" s="45">
        <f t="shared" si="28"/>
        <v>8132.553000000001</v>
      </c>
      <c r="P177" s="75">
        <v>22.3</v>
      </c>
      <c r="Q177" s="85"/>
      <c r="R177" s="11">
        <v>7517</v>
      </c>
      <c r="S177" s="11">
        <f t="shared" si="29"/>
        <v>45</v>
      </c>
      <c r="T177" s="67">
        <f t="shared" si="31"/>
        <v>22.5</v>
      </c>
      <c r="U177" s="67">
        <f t="shared" si="32"/>
        <v>32.190184049079754</v>
      </c>
      <c r="V177" s="67">
        <f t="shared" si="34"/>
        <v>1602.9585</v>
      </c>
    </row>
    <row r="178" spans="2:22" ht="12">
      <c r="B178" s="114">
        <f>V189</f>
        <v>1845.831</v>
      </c>
      <c r="D178" s="81">
        <v>40655</v>
      </c>
      <c r="E178" s="72">
        <f t="shared" si="30"/>
        <v>4011.5</v>
      </c>
      <c r="F178" s="59">
        <v>11672</v>
      </c>
      <c r="G178" s="70">
        <v>7457</v>
      </c>
      <c r="H178" s="73">
        <f t="shared" si="22"/>
        <v>19129</v>
      </c>
      <c r="I178" s="62">
        <f t="shared" si="23"/>
        <v>114.44497070921102</v>
      </c>
      <c r="J178" s="31">
        <f t="shared" si="24"/>
        <v>1.7916666666666667</v>
      </c>
      <c r="K178" s="31">
        <f t="shared" si="25"/>
        <v>3.257575757575758</v>
      </c>
      <c r="L178" s="74">
        <f t="shared" si="26"/>
        <v>0.3898269642950494</v>
      </c>
      <c r="M178" s="31">
        <f t="shared" si="27"/>
        <v>43</v>
      </c>
      <c r="N178" s="64">
        <f t="shared" si="35"/>
        <v>8749.100100000003</v>
      </c>
      <c r="O178" s="45">
        <f t="shared" si="28"/>
        <v>8206.341</v>
      </c>
      <c r="P178" s="75">
        <v>22.3</v>
      </c>
      <c r="Q178" s="85"/>
      <c r="R178" s="11">
        <v>7596</v>
      </c>
      <c r="S178" s="11">
        <f t="shared" si="29"/>
        <v>79</v>
      </c>
      <c r="T178" s="67">
        <f t="shared" si="31"/>
        <v>19.75</v>
      </c>
      <c r="U178" s="67">
        <f t="shared" si="32"/>
        <v>31.892215568862277</v>
      </c>
      <c r="V178" s="67">
        <f t="shared" si="34"/>
        <v>1627.093</v>
      </c>
    </row>
    <row r="179" spans="1:22" ht="12">
      <c r="A179" s="1" t="s">
        <v>23</v>
      </c>
      <c r="B179" s="115">
        <f>SUM(B177:B178)</f>
        <v>11035.642800000005</v>
      </c>
      <c r="C179" s="1" t="s">
        <v>87</v>
      </c>
      <c r="D179" s="68">
        <v>40669</v>
      </c>
      <c r="E179" s="72">
        <f t="shared" si="30"/>
        <v>4347.5</v>
      </c>
      <c r="F179" s="59">
        <v>11985</v>
      </c>
      <c r="G179" s="70">
        <v>7725</v>
      </c>
      <c r="H179" s="73">
        <f t="shared" si="22"/>
        <v>19710</v>
      </c>
      <c r="I179" s="62">
        <f t="shared" si="23"/>
        <v>108.8073605520414</v>
      </c>
      <c r="J179" s="31">
        <f t="shared" si="24"/>
        <v>1.7291666666666667</v>
      </c>
      <c r="K179" s="31">
        <f t="shared" si="25"/>
        <v>3.143939393939394</v>
      </c>
      <c r="L179" s="74">
        <f t="shared" si="26"/>
        <v>0.3919330289193303</v>
      </c>
      <c r="M179" s="31">
        <f t="shared" si="27"/>
        <v>41.5</v>
      </c>
      <c r="N179" s="64">
        <f t="shared" si="35"/>
        <v>9008.789400000003</v>
      </c>
      <c r="O179" s="45">
        <f t="shared" si="28"/>
        <v>8455.59</v>
      </c>
      <c r="P179" s="75">
        <v>22.3</v>
      </c>
      <c r="Q179" s="85">
        <f>N179-N174</f>
        <v>654.2874000000011</v>
      </c>
      <c r="R179" s="77">
        <v>7851</v>
      </c>
      <c r="S179" s="11">
        <f t="shared" si="29"/>
        <v>255</v>
      </c>
      <c r="T179" s="67">
        <f t="shared" si="31"/>
        <v>18.214285714285715</v>
      </c>
      <c r="U179" s="67">
        <f t="shared" si="32"/>
        <v>30.834254143646408</v>
      </c>
      <c r="V179" s="78">
        <f t="shared" si="34"/>
        <v>1704.9955</v>
      </c>
    </row>
    <row r="180" spans="4:22" ht="12">
      <c r="D180" s="81">
        <v>40671</v>
      </c>
      <c r="E180" s="72">
        <f t="shared" si="30"/>
        <v>4395.5</v>
      </c>
      <c r="F180" s="59">
        <v>12037</v>
      </c>
      <c r="G180" s="70">
        <v>7754</v>
      </c>
      <c r="H180" s="73">
        <f t="shared" si="22"/>
        <v>19791</v>
      </c>
      <c r="I180" s="62">
        <f t="shared" si="23"/>
        <v>108.0614264588784</v>
      </c>
      <c r="J180" s="31">
        <f t="shared" si="24"/>
        <v>1.6875</v>
      </c>
      <c r="K180" s="31">
        <f t="shared" si="25"/>
        <v>3.0681818181818183</v>
      </c>
      <c r="L180" s="74">
        <f t="shared" si="26"/>
        <v>0.39179424991157596</v>
      </c>
      <c r="M180" s="31">
        <f t="shared" si="27"/>
        <v>40.5</v>
      </c>
      <c r="N180" s="64">
        <f t="shared" si="35"/>
        <v>9047.190100000003</v>
      </c>
      <c r="O180" s="45">
        <f t="shared" si="28"/>
        <v>8490.339000000002</v>
      </c>
      <c r="P180" s="75">
        <v>22.3</v>
      </c>
      <c r="Q180" s="85"/>
      <c r="R180" s="11">
        <v>7890</v>
      </c>
      <c r="S180" s="11">
        <f t="shared" si="29"/>
        <v>39</v>
      </c>
      <c r="T180" s="67">
        <f t="shared" si="31"/>
        <v>19.5</v>
      </c>
      <c r="U180" s="67">
        <f t="shared" si="32"/>
        <v>30.7103825136612</v>
      </c>
      <c r="V180" s="67">
        <f t="shared" si="34"/>
        <v>1716.9099999999999</v>
      </c>
    </row>
    <row r="181" spans="2:22" ht="12">
      <c r="B181" s="128">
        <f>E31</f>
        <v>22392</v>
      </c>
      <c r="C181" s="1" t="s">
        <v>88</v>
      </c>
      <c r="D181" s="87">
        <v>40674</v>
      </c>
      <c r="E181" s="72">
        <f t="shared" si="30"/>
        <v>4467.5</v>
      </c>
      <c r="F181" s="59">
        <v>12076</v>
      </c>
      <c r="G181" s="59">
        <v>7791</v>
      </c>
      <c r="H181" s="72">
        <f t="shared" si="22"/>
        <v>19867</v>
      </c>
      <c r="I181" s="62">
        <f t="shared" si="23"/>
        <v>106.7281477336318</v>
      </c>
      <c r="J181" s="62">
        <f t="shared" si="24"/>
        <v>1.0555555555555556</v>
      </c>
      <c r="K181" s="62">
        <f t="shared" si="25"/>
        <v>1.9191919191919193</v>
      </c>
      <c r="L181" s="88">
        <f t="shared" si="26"/>
        <v>0.3921578497005084</v>
      </c>
      <c r="M181" s="62">
        <f t="shared" si="27"/>
        <v>25.333333333333336</v>
      </c>
      <c r="N181" s="64">
        <f t="shared" si="35"/>
        <v>9080.649500000003</v>
      </c>
      <c r="O181" s="62">
        <f t="shared" si="28"/>
        <v>8522.943000000001</v>
      </c>
      <c r="P181" s="61">
        <v>22.3</v>
      </c>
      <c r="Q181" s="89"/>
      <c r="R181" s="90">
        <v>7950</v>
      </c>
      <c r="S181" s="61">
        <f t="shared" si="29"/>
        <v>60</v>
      </c>
      <c r="T181" s="59">
        <f t="shared" si="31"/>
        <v>20</v>
      </c>
      <c r="U181" s="59">
        <f t="shared" si="32"/>
        <v>30.537634408602152</v>
      </c>
      <c r="V181" s="59">
        <f t="shared" si="34"/>
        <v>1735.24</v>
      </c>
    </row>
    <row r="182" spans="1:22" ht="12.75" thickBot="1">
      <c r="A182" s="127"/>
      <c r="B182" s="127"/>
      <c r="C182" s="127"/>
      <c r="D182" s="81">
        <v>40675</v>
      </c>
      <c r="E182" s="72">
        <f t="shared" si="30"/>
        <v>4491.5</v>
      </c>
      <c r="F182" s="59">
        <v>12088</v>
      </c>
      <c r="G182" s="70">
        <v>7803</v>
      </c>
      <c r="H182" s="73">
        <f t="shared" si="22"/>
        <v>19891</v>
      </c>
      <c r="I182" s="62">
        <f t="shared" si="23"/>
        <v>106.28609595903373</v>
      </c>
      <c r="J182" s="31">
        <f t="shared" si="24"/>
        <v>1</v>
      </c>
      <c r="K182" s="31">
        <f t="shared" si="25"/>
        <v>1.8181818181818181</v>
      </c>
      <c r="L182" s="74">
        <f t="shared" si="26"/>
        <v>0.3922879694334121</v>
      </c>
      <c r="M182" s="31">
        <f t="shared" si="27"/>
        <v>24</v>
      </c>
      <c r="N182" s="64">
        <f t="shared" si="35"/>
        <v>9091.132700000004</v>
      </c>
      <c r="O182" s="45">
        <f t="shared" si="28"/>
        <v>8533.239000000001</v>
      </c>
      <c r="P182" s="75">
        <v>22.3</v>
      </c>
      <c r="Q182" s="85"/>
      <c r="R182" s="11">
        <v>7969</v>
      </c>
      <c r="S182" s="11">
        <f t="shared" si="29"/>
        <v>19</v>
      </c>
      <c r="T182" s="67">
        <f t="shared" si="31"/>
        <v>19</v>
      </c>
      <c r="U182" s="67">
        <f t="shared" si="32"/>
        <v>30.475935828877006</v>
      </c>
      <c r="V182" s="67">
        <f t="shared" si="34"/>
        <v>1741.0445</v>
      </c>
    </row>
    <row r="183" spans="4:22" ht="12">
      <c r="D183" s="81">
        <v>40677</v>
      </c>
      <c r="E183" s="72">
        <f t="shared" si="30"/>
        <v>4539.5</v>
      </c>
      <c r="F183" s="59">
        <v>12113</v>
      </c>
      <c r="G183" s="70">
        <v>7826</v>
      </c>
      <c r="H183" s="73">
        <f t="shared" si="22"/>
        <v>19939</v>
      </c>
      <c r="I183" s="62">
        <f t="shared" si="23"/>
        <v>105.4160149796233</v>
      </c>
      <c r="J183" s="31">
        <f t="shared" si="24"/>
        <v>1</v>
      </c>
      <c r="K183" s="31">
        <f t="shared" si="25"/>
        <v>1.8181818181818181</v>
      </c>
      <c r="L183" s="74">
        <f t="shared" si="26"/>
        <v>0.3924971162044235</v>
      </c>
      <c r="M183" s="31">
        <f t="shared" si="27"/>
        <v>24</v>
      </c>
      <c r="N183" s="64">
        <f t="shared" si="35"/>
        <v>9112.361700000003</v>
      </c>
      <c r="O183" s="45">
        <f t="shared" si="28"/>
        <v>8553.831</v>
      </c>
      <c r="P183" s="75">
        <v>22.3</v>
      </c>
      <c r="Q183" s="85"/>
      <c r="R183" s="11">
        <v>7990</v>
      </c>
      <c r="S183" s="11">
        <f t="shared" si="29"/>
        <v>21</v>
      </c>
      <c r="T183" s="67">
        <f t="shared" si="31"/>
        <v>10.5</v>
      </c>
      <c r="U183" s="67">
        <f t="shared" si="32"/>
        <v>30.264550264550266</v>
      </c>
      <c r="V183" s="67">
        <f t="shared" si="34"/>
        <v>1747.46</v>
      </c>
    </row>
    <row r="184" spans="1:22" ht="12">
      <c r="A184" s="129" t="s">
        <v>89</v>
      </c>
      <c r="B184" s="130">
        <f>B181-B179</f>
        <v>11356.357199999995</v>
      </c>
      <c r="C184" s="131"/>
      <c r="D184" s="81">
        <v>40682</v>
      </c>
      <c r="E184" s="72">
        <f t="shared" si="30"/>
        <v>4659.5</v>
      </c>
      <c r="F184" s="59">
        <v>12193</v>
      </c>
      <c r="G184" s="70">
        <v>7890</v>
      </c>
      <c r="H184" s="73">
        <f t="shared" si="22"/>
        <v>20083</v>
      </c>
      <c r="I184" s="62">
        <f t="shared" si="23"/>
        <v>103.44285867582357</v>
      </c>
      <c r="J184" s="31">
        <f t="shared" si="24"/>
        <v>1.2</v>
      </c>
      <c r="K184" s="31">
        <f t="shared" si="25"/>
        <v>2.1818181818181817</v>
      </c>
      <c r="L184" s="74">
        <f t="shared" si="26"/>
        <v>0.39286959119653436</v>
      </c>
      <c r="M184" s="31">
        <f t="shared" si="27"/>
        <v>28.799999999999997</v>
      </c>
      <c r="N184" s="64">
        <f t="shared" si="35"/>
        <v>9177.361700000003</v>
      </c>
      <c r="O184" s="45">
        <f t="shared" si="28"/>
        <v>8615.607000000002</v>
      </c>
      <c r="P184" s="75">
        <v>22.3</v>
      </c>
      <c r="Q184" s="85"/>
      <c r="R184" s="11">
        <v>8078</v>
      </c>
      <c r="S184" s="11">
        <f t="shared" si="29"/>
        <v>88</v>
      </c>
      <c r="T184" s="67">
        <f t="shared" si="31"/>
        <v>17.6</v>
      </c>
      <c r="U184" s="67">
        <f t="shared" si="32"/>
        <v>29.938144329896907</v>
      </c>
      <c r="V184" s="67">
        <f t="shared" si="34"/>
        <v>1774.344</v>
      </c>
    </row>
    <row r="185" spans="1:22" ht="12.75" thickBot="1">
      <c r="A185" s="127"/>
      <c r="B185" s="127"/>
      <c r="C185" s="127"/>
      <c r="D185" s="81">
        <v>40684</v>
      </c>
      <c r="E185" s="72">
        <f t="shared" si="30"/>
        <v>4707.5</v>
      </c>
      <c r="F185" s="59">
        <v>12202</v>
      </c>
      <c r="G185" s="70">
        <v>7896</v>
      </c>
      <c r="H185" s="73">
        <f t="shared" si="22"/>
        <v>20098</v>
      </c>
      <c r="I185" s="62">
        <f t="shared" si="23"/>
        <v>102.46457780138077</v>
      </c>
      <c r="J185" s="31">
        <f t="shared" si="24"/>
        <v>0.3125</v>
      </c>
      <c r="K185" s="31">
        <f t="shared" si="25"/>
        <v>0.5681818181818182</v>
      </c>
      <c r="L185" s="74">
        <f t="shared" si="26"/>
        <v>0.3928749129266594</v>
      </c>
      <c r="M185" s="31">
        <f t="shared" si="27"/>
        <v>7.5</v>
      </c>
      <c r="N185" s="64">
        <f t="shared" si="35"/>
        <v>9184.307600000004</v>
      </c>
      <c r="O185" s="45">
        <f t="shared" si="28"/>
        <v>8622.042000000001</v>
      </c>
      <c r="P185" s="75">
        <v>22.6</v>
      </c>
      <c r="Q185" s="89" t="s">
        <v>72</v>
      </c>
      <c r="R185" s="11">
        <v>8126</v>
      </c>
      <c r="S185" s="11">
        <f t="shared" si="29"/>
        <v>48</v>
      </c>
      <c r="T185" s="67">
        <f t="shared" si="31"/>
        <v>24</v>
      </c>
      <c r="U185" s="67">
        <f t="shared" si="32"/>
        <v>29.877551020408163</v>
      </c>
      <c r="V185" s="67">
        <f t="shared" si="34"/>
        <v>1789.008</v>
      </c>
    </row>
    <row r="186" spans="4:22" ht="12">
      <c r="D186" s="81">
        <v>40693</v>
      </c>
      <c r="E186" s="72">
        <f t="shared" si="30"/>
        <v>4923.5</v>
      </c>
      <c r="F186" s="59">
        <v>12208</v>
      </c>
      <c r="G186" s="70">
        <v>7900</v>
      </c>
      <c r="H186" s="73">
        <f t="shared" si="22"/>
        <v>20108</v>
      </c>
      <c r="I186" s="62">
        <f t="shared" si="23"/>
        <v>98.01807657154464</v>
      </c>
      <c r="J186" s="31">
        <f t="shared" si="24"/>
        <v>0.046296296296296294</v>
      </c>
      <c r="K186" s="31">
        <f t="shared" si="25"/>
        <v>0.08417508417508417</v>
      </c>
      <c r="L186" s="74">
        <f t="shared" si="26"/>
        <v>0.3928784563357868</v>
      </c>
      <c r="M186" s="31">
        <f t="shared" si="27"/>
        <v>1.1111111111111112</v>
      </c>
      <c r="N186" s="64">
        <f t="shared" si="35"/>
        <v>9188.938200000004</v>
      </c>
      <c r="O186" s="45">
        <f t="shared" si="28"/>
        <v>8626.332</v>
      </c>
      <c r="P186" s="75">
        <v>22.6</v>
      </c>
      <c r="Q186" s="85"/>
      <c r="R186" s="11">
        <v>8267</v>
      </c>
      <c r="S186" s="11">
        <f t="shared" si="29"/>
        <v>141</v>
      </c>
      <c r="T186" s="67">
        <f t="shared" si="31"/>
        <v>15.666666666666666</v>
      </c>
      <c r="U186" s="67">
        <f t="shared" si="32"/>
        <v>29.253658536585366</v>
      </c>
      <c r="V186" s="67">
        <f t="shared" si="34"/>
        <v>1832.0835</v>
      </c>
    </row>
    <row r="187" spans="4:22" ht="12">
      <c r="D187" s="81">
        <v>40694</v>
      </c>
      <c r="E187" s="72">
        <f t="shared" si="30"/>
        <v>4947.5</v>
      </c>
      <c r="F187" s="59">
        <v>12209</v>
      </c>
      <c r="G187" s="70">
        <v>7901</v>
      </c>
      <c r="H187" s="73">
        <f t="shared" si="22"/>
        <v>20110</v>
      </c>
      <c r="I187" s="62">
        <f t="shared" si="23"/>
        <v>97.5522991409803</v>
      </c>
      <c r="J187" s="31">
        <f t="shared" si="24"/>
        <v>0.08333333333333333</v>
      </c>
      <c r="K187" s="31">
        <f t="shared" si="25"/>
        <v>0.15151515151515152</v>
      </c>
      <c r="L187" s="74">
        <f t="shared" si="26"/>
        <v>0.39288910989557435</v>
      </c>
      <c r="M187" s="31">
        <f t="shared" si="27"/>
        <v>2</v>
      </c>
      <c r="N187" s="64">
        <f t="shared" si="35"/>
        <v>9189.811800000005</v>
      </c>
      <c r="O187" s="45">
        <f t="shared" si="28"/>
        <v>8627.19</v>
      </c>
      <c r="P187" s="75">
        <v>22.6</v>
      </c>
      <c r="Q187" s="85"/>
      <c r="R187" s="11">
        <v>8277</v>
      </c>
      <c r="S187" s="11">
        <f t="shared" si="29"/>
        <v>10</v>
      </c>
      <c r="T187" s="67">
        <f t="shared" si="31"/>
        <v>10</v>
      </c>
      <c r="U187" s="67">
        <f t="shared" si="32"/>
        <v>29.160194174757283</v>
      </c>
      <c r="V187" s="67">
        <f t="shared" si="34"/>
        <v>1835.1385</v>
      </c>
    </row>
    <row r="188" spans="2:22" ht="12">
      <c r="B188" s="110" t="s">
        <v>86</v>
      </c>
      <c r="D188" s="81">
        <v>40695</v>
      </c>
      <c r="E188" s="72">
        <f t="shared" si="30"/>
        <v>4971.5</v>
      </c>
      <c r="F188" s="59">
        <v>12209</v>
      </c>
      <c r="G188" s="70">
        <v>7901</v>
      </c>
      <c r="H188" s="73">
        <f t="shared" si="22"/>
        <v>20110</v>
      </c>
      <c r="I188" s="62">
        <f t="shared" si="23"/>
        <v>97.08136377350901</v>
      </c>
      <c r="J188" s="31">
        <f t="shared" si="24"/>
        <v>0</v>
      </c>
      <c r="K188" s="31">
        <f t="shared" si="25"/>
        <v>0</v>
      </c>
      <c r="L188" s="74">
        <f t="shared" si="26"/>
        <v>0.39288910989557435</v>
      </c>
      <c r="M188" s="31">
        <f t="shared" si="27"/>
        <v>0</v>
      </c>
      <c r="N188" s="64">
        <f t="shared" si="35"/>
        <v>9189.811800000005</v>
      </c>
      <c r="O188" s="45">
        <f t="shared" si="28"/>
        <v>8627.19</v>
      </c>
      <c r="P188" s="75">
        <v>22.6</v>
      </c>
      <c r="Q188" s="85"/>
      <c r="R188" s="11">
        <v>8291</v>
      </c>
      <c r="S188" s="11">
        <f t="shared" si="29"/>
        <v>14</v>
      </c>
      <c r="T188" s="67">
        <f t="shared" si="31"/>
        <v>14</v>
      </c>
      <c r="U188" s="67">
        <f t="shared" si="32"/>
        <v>29.08695652173913</v>
      </c>
      <c r="V188" s="67">
        <f t="shared" si="34"/>
        <v>1839.4155</v>
      </c>
    </row>
    <row r="189" spans="2:22" ht="12.75" thickBot="1">
      <c r="B189" s="61" t="s">
        <v>73</v>
      </c>
      <c r="C189" s="61" t="s">
        <v>74</v>
      </c>
      <c r="D189" s="87">
        <v>40696</v>
      </c>
      <c r="E189" s="72">
        <f t="shared" si="30"/>
        <v>4995.5</v>
      </c>
      <c r="F189" s="59">
        <v>12209</v>
      </c>
      <c r="G189" s="59">
        <v>7901</v>
      </c>
      <c r="H189" s="72">
        <f t="shared" si="22"/>
        <v>20110</v>
      </c>
      <c r="I189" s="62">
        <f t="shared" si="23"/>
        <v>96.6149534581123</v>
      </c>
      <c r="J189" s="62">
        <f t="shared" si="24"/>
        <v>0</v>
      </c>
      <c r="K189" s="62">
        <f t="shared" si="25"/>
        <v>0</v>
      </c>
      <c r="L189" s="88">
        <f t="shared" si="26"/>
        <v>0.39288910989557435</v>
      </c>
      <c r="M189" s="62">
        <f t="shared" si="27"/>
        <v>0</v>
      </c>
      <c r="N189" s="80">
        <f t="shared" si="35"/>
        <v>9189.811800000005</v>
      </c>
      <c r="O189" s="62">
        <f t="shared" si="28"/>
        <v>8627.19</v>
      </c>
      <c r="P189" s="61">
        <v>22.6</v>
      </c>
      <c r="Q189" s="89"/>
      <c r="R189" s="61">
        <v>8312</v>
      </c>
      <c r="S189" s="61">
        <f t="shared" si="29"/>
        <v>21</v>
      </c>
      <c r="T189" s="59">
        <f t="shared" si="31"/>
        <v>21</v>
      </c>
      <c r="U189" s="59">
        <f t="shared" si="32"/>
        <v>29.048076923076923</v>
      </c>
      <c r="V189" s="78">
        <f t="shared" si="34"/>
        <v>1845.831</v>
      </c>
    </row>
    <row r="190" spans="2:22" ht="12.75" thickBot="1">
      <c r="B190" s="61" t="s">
        <v>106</v>
      </c>
      <c r="C190" s="134">
        <v>18300</v>
      </c>
      <c r="D190" s="87"/>
      <c r="E190" s="72"/>
      <c r="F190" s="59"/>
      <c r="G190" s="59"/>
      <c r="H190" s="72"/>
      <c r="I190" s="62"/>
      <c r="J190" s="62"/>
      <c r="K190" s="62"/>
      <c r="L190" s="88"/>
      <c r="M190" s="62"/>
      <c r="N190" s="64"/>
      <c r="O190" s="62"/>
      <c r="P190" s="61"/>
      <c r="Q190" s="89"/>
      <c r="R190" s="61"/>
      <c r="S190" s="61"/>
      <c r="T190" s="59"/>
      <c r="U190" s="59"/>
      <c r="V190" s="59"/>
    </row>
    <row r="191" spans="1:22" ht="48">
      <c r="A191" s="135" t="s">
        <v>79</v>
      </c>
      <c r="B191" s="135"/>
      <c r="C191" s="135"/>
      <c r="D191" s="52" t="s">
        <v>41</v>
      </c>
      <c r="E191" s="53" t="s">
        <v>44</v>
      </c>
      <c r="F191" s="53" t="s">
        <v>56</v>
      </c>
      <c r="G191" s="53" t="s">
        <v>57</v>
      </c>
      <c r="H191" s="53" t="s">
        <v>58</v>
      </c>
      <c r="I191" s="53" t="s">
        <v>82</v>
      </c>
      <c r="J191" s="53" t="s">
        <v>100</v>
      </c>
      <c r="K191" s="53" t="s">
        <v>59</v>
      </c>
      <c r="L191" s="52" t="s">
        <v>60</v>
      </c>
      <c r="M191" s="53" t="s">
        <v>81</v>
      </c>
      <c r="N191" s="53" t="s">
        <v>51</v>
      </c>
      <c r="O191" s="53" t="s">
        <v>61</v>
      </c>
      <c r="P191" s="66" t="s">
        <v>62</v>
      </c>
      <c r="R191" s="52" t="s">
        <v>63</v>
      </c>
      <c r="S191" s="53" t="s">
        <v>64</v>
      </c>
      <c r="T191" s="53" t="s">
        <v>81</v>
      </c>
      <c r="U191" s="53" t="s">
        <v>82</v>
      </c>
      <c r="V191" s="53" t="s">
        <v>78</v>
      </c>
    </row>
    <row r="192" spans="2:22" ht="12">
      <c r="B192" s="11"/>
      <c r="C192" s="11"/>
      <c r="D192" s="87"/>
      <c r="E192" s="72"/>
      <c r="F192" s="59"/>
      <c r="G192" s="59"/>
      <c r="H192" s="72"/>
      <c r="I192" s="62"/>
      <c r="J192" s="62"/>
      <c r="K192" s="62"/>
      <c r="L192" s="88"/>
      <c r="M192" s="62"/>
      <c r="N192" s="64"/>
      <c r="O192" s="62"/>
      <c r="P192" s="61"/>
      <c r="Q192" s="89"/>
      <c r="R192" s="61"/>
      <c r="S192" s="61"/>
      <c r="T192" s="59"/>
      <c r="U192" s="59"/>
      <c r="V192" s="59"/>
    </row>
    <row r="193" spans="3:22" ht="12">
      <c r="C193" s="31"/>
      <c r="D193" s="81">
        <v>40699</v>
      </c>
      <c r="E193" s="72">
        <f>24*(D193-D189)+E189</f>
        <v>5067.5</v>
      </c>
      <c r="F193" s="59">
        <v>12209</v>
      </c>
      <c r="G193" s="70">
        <v>7901</v>
      </c>
      <c r="H193" s="73">
        <f t="shared" si="22"/>
        <v>20110</v>
      </c>
      <c r="I193" s="62">
        <f t="shared" si="23"/>
        <v>95.24222989639863</v>
      </c>
      <c r="J193" s="31">
        <f>(H193-H189)/(E193-E189)</f>
        <v>0</v>
      </c>
      <c r="K193" s="31">
        <f t="shared" si="25"/>
        <v>0</v>
      </c>
      <c r="L193" s="74">
        <f t="shared" si="26"/>
        <v>0.39288910989557435</v>
      </c>
      <c r="M193" s="31">
        <f t="shared" si="27"/>
        <v>0</v>
      </c>
      <c r="N193" s="64">
        <f>N189+((F193-F189)*$K$7+(G193-G189)*$K$8)</f>
        <v>9189.811800000005</v>
      </c>
      <c r="O193" s="45">
        <f t="shared" si="28"/>
        <v>8627.19</v>
      </c>
      <c r="P193" s="75">
        <v>22.5</v>
      </c>
      <c r="Q193" s="85"/>
      <c r="R193" s="11">
        <v>8353</v>
      </c>
      <c r="S193" s="11">
        <f>R193-R189</f>
        <v>41</v>
      </c>
      <c r="T193" s="67">
        <f>S193/(D193-D189)</f>
        <v>13.666666666666666</v>
      </c>
      <c r="U193" s="67">
        <f t="shared" si="32"/>
        <v>28.829383886255926</v>
      </c>
      <c r="V193" s="67">
        <f aca="true" t="shared" si="36" ref="V193:V201">(R193-$R$62)*$K$8</f>
        <v>1858.3564999999999</v>
      </c>
    </row>
    <row r="194" spans="4:22" ht="12">
      <c r="D194" s="81">
        <v>40700</v>
      </c>
      <c r="E194" s="72">
        <f t="shared" si="30"/>
        <v>5091.5</v>
      </c>
      <c r="F194" s="59">
        <v>12209</v>
      </c>
      <c r="G194" s="70">
        <v>7901</v>
      </c>
      <c r="H194" s="73">
        <f aca="true" t="shared" si="37" ref="H194:H210">SUM(F194:G194)</f>
        <v>20110</v>
      </c>
      <c r="I194" s="62">
        <f aca="true" t="shared" si="38" ref="I194:I210">(H194/E194)*24</f>
        <v>94.79328292251792</v>
      </c>
      <c r="J194" s="31">
        <f aca="true" t="shared" si="39" ref="J194:J210">(H194-H193)/(E194-E193)</f>
        <v>0</v>
      </c>
      <c r="K194" s="31">
        <f aca="true" t="shared" si="40" ref="K194:K199">J194*1000/550</f>
        <v>0</v>
      </c>
      <c r="L194" s="74">
        <f aca="true" t="shared" si="41" ref="L194:L210">G194/H194</f>
        <v>0.39288910989557435</v>
      </c>
      <c r="M194" s="31">
        <f aca="true" t="shared" si="42" ref="M194:M210">J194*24</f>
        <v>0</v>
      </c>
      <c r="N194" s="64">
        <f t="shared" si="35"/>
        <v>9189.811800000005</v>
      </c>
      <c r="O194" s="45">
        <f aca="true" t="shared" si="43" ref="O194:O210">H194*$K$5</f>
        <v>8627.19</v>
      </c>
      <c r="P194" s="75">
        <v>22.6</v>
      </c>
      <c r="Q194" s="85"/>
      <c r="R194" s="11">
        <v>8374</v>
      </c>
      <c r="S194" s="11">
        <f aca="true" t="shared" si="44" ref="S194:S199">R194-R193</f>
        <v>21</v>
      </c>
      <c r="T194" s="67">
        <f t="shared" si="31"/>
        <v>21</v>
      </c>
      <c r="U194" s="67">
        <f t="shared" si="32"/>
        <v>28.79245283018868</v>
      </c>
      <c r="V194" s="67">
        <f t="shared" si="36"/>
        <v>1864.772</v>
      </c>
    </row>
    <row r="195" spans="4:22" ht="12">
      <c r="D195" s="81">
        <v>40702</v>
      </c>
      <c r="E195" s="72">
        <f aca="true" t="shared" si="45" ref="E195:E210">24*(D195-D194)+E194</f>
        <v>5139.5</v>
      </c>
      <c r="F195" s="59">
        <v>12209</v>
      </c>
      <c r="G195" s="70">
        <v>7901</v>
      </c>
      <c r="H195" s="73">
        <f t="shared" si="37"/>
        <v>20110</v>
      </c>
      <c r="I195" s="62">
        <f t="shared" si="38"/>
        <v>93.90796770113823</v>
      </c>
      <c r="J195" s="31">
        <f t="shared" si="39"/>
        <v>0</v>
      </c>
      <c r="K195" s="31">
        <f t="shared" si="40"/>
        <v>0</v>
      </c>
      <c r="L195" s="74">
        <f t="shared" si="41"/>
        <v>0.39288910989557435</v>
      </c>
      <c r="M195" s="31">
        <f t="shared" si="42"/>
        <v>0</v>
      </c>
      <c r="N195" s="64">
        <f t="shared" si="35"/>
        <v>9189.811800000005</v>
      </c>
      <c r="O195" s="45">
        <f t="shared" si="43"/>
        <v>8627.19</v>
      </c>
      <c r="P195" s="75">
        <v>22.5</v>
      </c>
      <c r="Q195" s="85"/>
      <c r="R195" s="11">
        <v>8391</v>
      </c>
      <c r="S195" s="11">
        <f t="shared" si="44"/>
        <v>17</v>
      </c>
      <c r="T195" s="67">
        <f aca="true" t="shared" si="46" ref="T195:T211">S195/(D195-D194)</f>
        <v>8.5</v>
      </c>
      <c r="U195" s="67">
        <f t="shared" si="32"/>
        <v>28.602803738317757</v>
      </c>
      <c r="V195" s="67">
        <f t="shared" si="36"/>
        <v>1869.9655</v>
      </c>
    </row>
    <row r="196" spans="4:22" ht="12">
      <c r="D196" s="81">
        <v>40703</v>
      </c>
      <c r="E196" s="72">
        <f t="shared" si="45"/>
        <v>5163.5</v>
      </c>
      <c r="F196" s="59">
        <v>12209</v>
      </c>
      <c r="G196" s="70">
        <v>7901</v>
      </c>
      <c r="H196" s="73">
        <f t="shared" si="37"/>
        <v>20110</v>
      </c>
      <c r="I196" s="62">
        <f t="shared" si="38"/>
        <v>93.47148252154545</v>
      </c>
      <c r="J196" s="31">
        <f t="shared" si="39"/>
        <v>0</v>
      </c>
      <c r="K196" s="31">
        <f t="shared" si="40"/>
        <v>0</v>
      </c>
      <c r="L196" s="74">
        <f t="shared" si="41"/>
        <v>0.39288910989557435</v>
      </c>
      <c r="M196" s="31">
        <f t="shared" si="42"/>
        <v>0</v>
      </c>
      <c r="N196" s="64">
        <f t="shared" si="35"/>
        <v>9189.811800000005</v>
      </c>
      <c r="O196" s="45">
        <f t="shared" si="43"/>
        <v>8627.19</v>
      </c>
      <c r="P196" s="75">
        <v>22.5</v>
      </c>
      <c r="Q196" s="85"/>
      <c r="R196" s="11">
        <v>8409</v>
      </c>
      <c r="S196" s="11">
        <f t="shared" si="44"/>
        <v>18</v>
      </c>
      <c r="T196" s="67">
        <f t="shared" si="46"/>
        <v>18</v>
      </c>
      <c r="U196" s="67">
        <f t="shared" si="32"/>
        <v>28.553488372093025</v>
      </c>
      <c r="V196" s="67">
        <f t="shared" si="36"/>
        <v>1875.4645</v>
      </c>
    </row>
    <row r="197" spans="4:22" ht="12">
      <c r="D197" s="81">
        <v>40707</v>
      </c>
      <c r="E197" s="72">
        <f t="shared" si="45"/>
        <v>5259.5</v>
      </c>
      <c r="F197" s="59">
        <v>12209</v>
      </c>
      <c r="G197" s="70">
        <v>7901</v>
      </c>
      <c r="H197" s="73">
        <f t="shared" si="37"/>
        <v>20110</v>
      </c>
      <c r="I197" s="62">
        <f t="shared" si="38"/>
        <v>91.7653769369712</v>
      </c>
      <c r="J197" s="31">
        <f t="shared" si="39"/>
        <v>0</v>
      </c>
      <c r="K197" s="31">
        <f t="shared" si="40"/>
        <v>0</v>
      </c>
      <c r="L197" s="74">
        <f t="shared" si="41"/>
        <v>0.39288910989557435</v>
      </c>
      <c r="M197" s="31">
        <f t="shared" si="42"/>
        <v>0</v>
      </c>
      <c r="N197" s="64">
        <f t="shared" si="35"/>
        <v>9189.811800000005</v>
      </c>
      <c r="O197" s="45">
        <f t="shared" si="43"/>
        <v>8627.19</v>
      </c>
      <c r="P197" s="75">
        <v>22.5</v>
      </c>
      <c r="Q197" s="85"/>
      <c r="R197" s="11">
        <v>8433</v>
      </c>
      <c r="S197" s="11">
        <f t="shared" si="44"/>
        <v>24</v>
      </c>
      <c r="T197" s="67">
        <f t="shared" si="46"/>
        <v>6</v>
      </c>
      <c r="U197" s="67">
        <f t="shared" si="32"/>
        <v>28.141552511415526</v>
      </c>
      <c r="V197" s="67">
        <f t="shared" si="36"/>
        <v>1882.7965</v>
      </c>
    </row>
    <row r="198" spans="4:22" ht="12">
      <c r="D198" s="81">
        <v>40708</v>
      </c>
      <c r="E198" s="72">
        <f t="shared" si="45"/>
        <v>5283.5</v>
      </c>
      <c r="F198" s="59">
        <v>12209</v>
      </c>
      <c r="G198" s="70">
        <v>7901</v>
      </c>
      <c r="H198" s="73">
        <f t="shared" si="37"/>
        <v>20110</v>
      </c>
      <c r="I198" s="62">
        <f t="shared" si="38"/>
        <v>91.34853790101259</v>
      </c>
      <c r="J198" s="31">
        <f t="shared" si="39"/>
        <v>0</v>
      </c>
      <c r="K198" s="31">
        <f t="shared" si="40"/>
        <v>0</v>
      </c>
      <c r="L198" s="74">
        <f t="shared" si="41"/>
        <v>0.39288910989557435</v>
      </c>
      <c r="M198" s="31">
        <f t="shared" si="42"/>
        <v>0</v>
      </c>
      <c r="N198" s="64">
        <f>N197+((F198-F197)*$K$7+(G198-G197)*$K$8)</f>
        <v>9189.811800000005</v>
      </c>
      <c r="O198" s="45">
        <f t="shared" si="43"/>
        <v>8627.19</v>
      </c>
      <c r="P198" s="75">
        <v>22.5</v>
      </c>
      <c r="Q198" s="85"/>
      <c r="R198" s="11">
        <v>8438</v>
      </c>
      <c r="S198" s="11">
        <f t="shared" si="44"/>
        <v>5</v>
      </c>
      <c r="T198" s="67">
        <f t="shared" si="46"/>
        <v>5</v>
      </c>
      <c r="U198" s="67">
        <f>(R198-$R$62)/(D198-$D$62)</f>
        <v>28.036363636363635</v>
      </c>
      <c r="V198" s="67">
        <f t="shared" si="36"/>
        <v>1884.324</v>
      </c>
    </row>
    <row r="199" spans="4:22" ht="12">
      <c r="D199" s="81">
        <v>40711</v>
      </c>
      <c r="E199" s="72">
        <f t="shared" si="45"/>
        <v>5355.5</v>
      </c>
      <c r="F199" s="59">
        <v>12209</v>
      </c>
      <c r="G199" s="70">
        <v>7901</v>
      </c>
      <c r="H199" s="73">
        <f t="shared" si="37"/>
        <v>20110</v>
      </c>
      <c r="I199" s="62">
        <f t="shared" si="38"/>
        <v>90.12043693399309</v>
      </c>
      <c r="J199" s="31">
        <f t="shared" si="39"/>
        <v>0</v>
      </c>
      <c r="K199" s="31">
        <f t="shared" si="40"/>
        <v>0</v>
      </c>
      <c r="L199" s="74">
        <f t="shared" si="41"/>
        <v>0.39288910989557435</v>
      </c>
      <c r="M199" s="31">
        <f t="shared" si="42"/>
        <v>0</v>
      </c>
      <c r="N199" s="64">
        <f>N198+((F199-F198)*$K$7+(G199-G198)*$K$8)</f>
        <v>9189.811800000005</v>
      </c>
      <c r="O199" s="45">
        <f t="shared" si="43"/>
        <v>8627.19</v>
      </c>
      <c r="P199" s="75">
        <v>22.5</v>
      </c>
      <c r="Q199" s="85"/>
      <c r="R199" s="11">
        <v>8449</v>
      </c>
      <c r="S199" s="11">
        <f t="shared" si="44"/>
        <v>11</v>
      </c>
      <c r="T199" s="67">
        <f t="shared" si="46"/>
        <v>3.6666666666666665</v>
      </c>
      <c r="U199" s="67">
        <f>(R199-$R$62)/(D199-$D$62)</f>
        <v>27.708520179372197</v>
      </c>
      <c r="V199" s="67">
        <f t="shared" si="36"/>
        <v>1887.6845</v>
      </c>
    </row>
    <row r="200" spans="4:22" ht="12">
      <c r="D200" s="81">
        <v>40721</v>
      </c>
      <c r="E200" s="72">
        <f t="shared" si="45"/>
        <v>5595.5</v>
      </c>
      <c r="F200" s="59">
        <v>12209</v>
      </c>
      <c r="G200" s="70">
        <v>7901</v>
      </c>
      <c r="H200" s="73">
        <f t="shared" si="37"/>
        <v>20110</v>
      </c>
      <c r="I200" s="62">
        <f t="shared" si="38"/>
        <v>86.25502636046824</v>
      </c>
      <c r="J200" s="31">
        <f t="shared" si="39"/>
        <v>0</v>
      </c>
      <c r="K200" s="31">
        <f>J200*1000/550</f>
        <v>0</v>
      </c>
      <c r="L200" s="74">
        <f t="shared" si="41"/>
        <v>0.39288910989557435</v>
      </c>
      <c r="M200" s="31">
        <f t="shared" si="42"/>
        <v>0</v>
      </c>
      <c r="N200" s="64">
        <f>N199+((F200-F199)*$K$7+(G200-G199)*$K$8)</f>
        <v>9189.811800000005</v>
      </c>
      <c r="O200" s="45">
        <f t="shared" si="43"/>
        <v>8627.19</v>
      </c>
      <c r="P200" s="75">
        <v>22.5</v>
      </c>
      <c r="Q200" s="85"/>
      <c r="R200" s="11">
        <v>8582</v>
      </c>
      <c r="S200" s="11">
        <f>R200-R199</f>
        <v>133</v>
      </c>
      <c r="T200" s="67">
        <f t="shared" si="46"/>
        <v>13.3</v>
      </c>
      <c r="U200" s="67">
        <f>(R200-$R$62)/(D200-$D$62)</f>
        <v>27.090128755364805</v>
      </c>
      <c r="V200" s="67">
        <f t="shared" si="36"/>
        <v>1928.316</v>
      </c>
    </row>
    <row r="201" spans="4:22" ht="12">
      <c r="D201" s="68">
        <v>40730</v>
      </c>
      <c r="E201" s="72">
        <f t="shared" si="45"/>
        <v>5811.5</v>
      </c>
      <c r="F201" s="59">
        <v>12209</v>
      </c>
      <c r="G201" s="70">
        <v>7901</v>
      </c>
      <c r="H201" s="73">
        <f t="shared" si="37"/>
        <v>20110</v>
      </c>
      <c r="I201" s="62">
        <f t="shared" si="38"/>
        <v>83.04912673148068</v>
      </c>
      <c r="J201" s="31">
        <f t="shared" si="39"/>
        <v>0</v>
      </c>
      <c r="K201" s="31">
        <f>J201*1000/550</f>
        <v>0</v>
      </c>
      <c r="L201" s="74">
        <f t="shared" si="41"/>
        <v>0.39288910989557435</v>
      </c>
      <c r="M201" s="31">
        <f t="shared" si="42"/>
        <v>0</v>
      </c>
      <c r="N201" s="64">
        <f>N200+((F201-F200)*$K$7+(G201-G200)*$K$8)</f>
        <v>9189.811800000005</v>
      </c>
      <c r="O201" s="45">
        <f t="shared" si="43"/>
        <v>8627.19</v>
      </c>
      <c r="P201" s="75">
        <v>22.5</v>
      </c>
      <c r="Q201" s="85"/>
      <c r="R201" s="77">
        <v>8786</v>
      </c>
      <c r="S201" s="11">
        <f>R201-R200</f>
        <v>204</v>
      </c>
      <c r="T201" s="67">
        <f t="shared" si="46"/>
        <v>22.666666666666668</v>
      </c>
      <c r="U201" s="67">
        <f>(R201-$R$62)/(D201-$D$62)</f>
        <v>26.925619834710744</v>
      </c>
      <c r="V201" s="78">
        <f t="shared" si="36"/>
        <v>1990.638</v>
      </c>
    </row>
    <row r="202" spans="4:22" ht="12">
      <c r="D202" s="68">
        <v>40762</v>
      </c>
      <c r="E202" s="72">
        <f t="shared" si="45"/>
        <v>6579.5</v>
      </c>
      <c r="F202" s="59">
        <v>12210</v>
      </c>
      <c r="G202" s="70">
        <v>7901</v>
      </c>
      <c r="H202" s="73">
        <f t="shared" si="37"/>
        <v>20111</v>
      </c>
      <c r="I202" s="62">
        <f t="shared" si="38"/>
        <v>73.35876586366744</v>
      </c>
      <c r="J202" s="31">
        <f t="shared" si="39"/>
        <v>0.0013020833333333333</v>
      </c>
      <c r="K202" s="31">
        <f aca="true" t="shared" si="47" ref="K202:K213">J202*1000/550</f>
        <v>0.0023674242424242425</v>
      </c>
      <c r="L202" s="74">
        <f t="shared" si="41"/>
        <v>0.392869573865049</v>
      </c>
      <c r="M202" s="31">
        <f t="shared" si="42"/>
        <v>0.03125</v>
      </c>
      <c r="N202" s="64">
        <f aca="true" t="shared" si="48" ref="N202:N210">N201+((F202-F201)*$K$7+(G202-G201)*$K$8)</f>
        <v>9190.379900000005</v>
      </c>
      <c r="O202" s="45">
        <f t="shared" si="43"/>
        <v>8627.619</v>
      </c>
      <c r="P202" s="75">
        <v>22.5</v>
      </c>
      <c r="R202" s="77">
        <v>9318</v>
      </c>
      <c r="S202" s="1">
        <f aca="true" t="shared" si="49" ref="S202:S213">R202-R201</f>
        <v>532</v>
      </c>
      <c r="T202" s="111">
        <f t="shared" si="46"/>
        <v>16.625</v>
      </c>
      <c r="U202" s="60">
        <f aca="true" t="shared" si="50" ref="U202:U210">(R202-$R$92)/(D202-$D$92)</f>
        <v>24.73728813559322</v>
      </c>
      <c r="V202" s="78">
        <f aca="true" t="shared" si="51" ref="V202:V210">(R202-$R$92)*$K$8</f>
        <v>1783.509</v>
      </c>
    </row>
    <row r="203" spans="4:22" ht="12">
      <c r="D203" s="81">
        <v>40763</v>
      </c>
      <c r="E203" s="72">
        <f t="shared" si="45"/>
        <v>6603.5</v>
      </c>
      <c r="F203" s="59">
        <v>12215</v>
      </c>
      <c r="G203" s="70">
        <v>7904</v>
      </c>
      <c r="H203" s="73">
        <f t="shared" si="37"/>
        <v>20119</v>
      </c>
      <c r="I203" s="62">
        <f t="shared" si="38"/>
        <v>73.12122359354888</v>
      </c>
      <c r="J203" s="31">
        <f t="shared" si="39"/>
        <v>0.3333333333333333</v>
      </c>
      <c r="K203" s="31">
        <f t="shared" si="47"/>
        <v>0.6060606060606061</v>
      </c>
      <c r="L203" s="74">
        <f t="shared" si="41"/>
        <v>0.3928624683135345</v>
      </c>
      <c r="M203" s="112">
        <f t="shared" si="42"/>
        <v>8</v>
      </c>
      <c r="N203" s="64">
        <f t="shared" si="48"/>
        <v>9194.136900000005</v>
      </c>
      <c r="O203" s="45">
        <f t="shared" si="43"/>
        <v>8631.051000000001</v>
      </c>
      <c r="P203" s="75">
        <v>22.5</v>
      </c>
      <c r="R203" s="11">
        <v>9329</v>
      </c>
      <c r="S203" s="11">
        <f t="shared" si="49"/>
        <v>11</v>
      </c>
      <c r="T203" s="111">
        <f t="shared" si="46"/>
        <v>11</v>
      </c>
      <c r="U203" s="67">
        <f t="shared" si="50"/>
        <v>24.679324894514767</v>
      </c>
      <c r="V203" s="67">
        <f t="shared" si="51"/>
        <v>1786.8695</v>
      </c>
    </row>
    <row r="204" spans="4:22" ht="12">
      <c r="D204" s="81">
        <v>40764</v>
      </c>
      <c r="E204" s="72">
        <f t="shared" si="45"/>
        <v>6627.5</v>
      </c>
      <c r="F204" s="59">
        <v>12219</v>
      </c>
      <c r="G204" s="70">
        <v>7906</v>
      </c>
      <c r="H204" s="73">
        <f t="shared" si="37"/>
        <v>20125</v>
      </c>
      <c r="I204" s="62">
        <f t="shared" si="38"/>
        <v>72.87815918521312</v>
      </c>
      <c r="J204" s="31">
        <f t="shared" si="39"/>
        <v>0.25</v>
      </c>
      <c r="K204" s="31">
        <f t="shared" si="47"/>
        <v>0.45454545454545453</v>
      </c>
      <c r="L204" s="74">
        <f t="shared" si="41"/>
        <v>0.3928447204968944</v>
      </c>
      <c r="M204" s="112">
        <f t="shared" si="42"/>
        <v>6</v>
      </c>
      <c r="N204" s="64">
        <f t="shared" si="48"/>
        <v>9197.020300000006</v>
      </c>
      <c r="O204" s="45">
        <f t="shared" si="43"/>
        <v>8633.625000000002</v>
      </c>
      <c r="P204" s="75">
        <v>22.5</v>
      </c>
      <c r="R204" s="11">
        <v>9349</v>
      </c>
      <c r="S204" s="11">
        <f t="shared" si="49"/>
        <v>20</v>
      </c>
      <c r="T204" s="111">
        <f t="shared" si="46"/>
        <v>20</v>
      </c>
      <c r="U204" s="67">
        <f t="shared" si="50"/>
        <v>24.659663865546218</v>
      </c>
      <c r="V204" s="67">
        <f t="shared" si="51"/>
        <v>1792.9795</v>
      </c>
    </row>
    <row r="205" spans="4:22" ht="12">
      <c r="D205" s="81">
        <v>40766</v>
      </c>
      <c r="E205" s="72">
        <f t="shared" si="45"/>
        <v>6675.5</v>
      </c>
      <c r="F205" s="59">
        <v>12226</v>
      </c>
      <c r="G205" s="70">
        <v>7914</v>
      </c>
      <c r="H205" s="73">
        <f t="shared" si="37"/>
        <v>20140</v>
      </c>
      <c r="I205" s="62">
        <f t="shared" si="38"/>
        <v>72.40805932139915</v>
      </c>
      <c r="J205" s="31">
        <f t="shared" si="39"/>
        <v>0.3125</v>
      </c>
      <c r="K205" s="31">
        <f t="shared" si="47"/>
        <v>0.5681818181818182</v>
      </c>
      <c r="L205" s="74">
        <f t="shared" si="41"/>
        <v>0.3929493545183714</v>
      </c>
      <c r="M205" s="112">
        <f t="shared" si="42"/>
        <v>7.5</v>
      </c>
      <c r="N205" s="64">
        <f t="shared" si="48"/>
        <v>9203.441000000006</v>
      </c>
      <c r="O205" s="45">
        <f t="shared" si="43"/>
        <v>8640.060000000001</v>
      </c>
      <c r="P205" s="75">
        <v>22.5</v>
      </c>
      <c r="R205" s="11">
        <v>9384</v>
      </c>
      <c r="S205" s="11">
        <f t="shared" si="49"/>
        <v>35</v>
      </c>
      <c r="T205" s="111">
        <f t="shared" si="46"/>
        <v>17.5</v>
      </c>
      <c r="U205" s="67">
        <f t="shared" si="50"/>
        <v>24.6</v>
      </c>
      <c r="V205" s="67">
        <f t="shared" si="51"/>
        <v>1803.672</v>
      </c>
    </row>
    <row r="206" spans="4:22" ht="12">
      <c r="D206" s="81">
        <v>40767</v>
      </c>
      <c r="E206" s="72">
        <f t="shared" si="45"/>
        <v>6699.5</v>
      </c>
      <c r="F206" s="59">
        <v>12232</v>
      </c>
      <c r="G206" s="70">
        <v>7914</v>
      </c>
      <c r="H206" s="73">
        <f t="shared" si="37"/>
        <v>20146</v>
      </c>
      <c r="I206" s="62">
        <f t="shared" si="38"/>
        <v>72.17016195238452</v>
      </c>
      <c r="J206" s="31">
        <f t="shared" si="39"/>
        <v>0.25</v>
      </c>
      <c r="K206" s="31">
        <f t="shared" si="47"/>
        <v>0.45454545454545453</v>
      </c>
      <c r="L206" s="74">
        <f t="shared" si="41"/>
        <v>0.3928323240345478</v>
      </c>
      <c r="M206" s="112">
        <f t="shared" si="42"/>
        <v>6</v>
      </c>
      <c r="N206" s="64">
        <f t="shared" si="48"/>
        <v>9206.849600000007</v>
      </c>
      <c r="O206" s="45">
        <f t="shared" si="43"/>
        <v>8642.634000000002</v>
      </c>
      <c r="P206" s="75">
        <v>22.5</v>
      </c>
      <c r="R206" s="11">
        <v>9394</v>
      </c>
      <c r="S206" s="11">
        <f t="shared" si="49"/>
        <v>10</v>
      </c>
      <c r="T206" s="111">
        <f t="shared" si="46"/>
        <v>10</v>
      </c>
      <c r="U206" s="67">
        <f t="shared" si="50"/>
        <v>24.53941908713693</v>
      </c>
      <c r="V206" s="67">
        <f t="shared" si="51"/>
        <v>1806.7269999999999</v>
      </c>
    </row>
    <row r="207" spans="4:22" ht="12">
      <c r="D207" s="81">
        <v>40772</v>
      </c>
      <c r="E207" s="72">
        <f t="shared" si="45"/>
        <v>6819.5</v>
      </c>
      <c r="F207" s="59">
        <v>12248</v>
      </c>
      <c r="G207" s="70">
        <v>7922</v>
      </c>
      <c r="H207" s="73">
        <f t="shared" si="37"/>
        <v>20170</v>
      </c>
      <c r="I207" s="62">
        <f t="shared" si="38"/>
        <v>70.98467629591613</v>
      </c>
      <c r="J207" s="31">
        <f t="shared" si="39"/>
        <v>0.2</v>
      </c>
      <c r="K207" s="31">
        <f t="shared" si="47"/>
        <v>0.36363636363636365</v>
      </c>
      <c r="L207" s="74">
        <f t="shared" si="41"/>
        <v>0.39276152702032724</v>
      </c>
      <c r="M207" s="112">
        <f t="shared" si="42"/>
        <v>4.800000000000001</v>
      </c>
      <c r="N207" s="64">
        <f t="shared" si="48"/>
        <v>9218.383200000007</v>
      </c>
      <c r="O207" s="45">
        <f t="shared" si="43"/>
        <v>8652.93</v>
      </c>
      <c r="P207" s="75">
        <v>22.5</v>
      </c>
      <c r="R207" s="11">
        <v>9451</v>
      </c>
      <c r="S207" s="11">
        <f t="shared" si="49"/>
        <v>57</v>
      </c>
      <c r="T207" s="111">
        <f t="shared" si="46"/>
        <v>11.4</v>
      </c>
      <c r="U207" s="67">
        <f t="shared" si="50"/>
        <v>24.272357723577237</v>
      </c>
      <c r="V207" s="67">
        <f t="shared" si="51"/>
        <v>1824.1405</v>
      </c>
    </row>
    <row r="208" spans="4:22" ht="12">
      <c r="D208" s="81">
        <v>40773</v>
      </c>
      <c r="E208" s="72">
        <f t="shared" si="45"/>
        <v>6843.5</v>
      </c>
      <c r="F208" s="59">
        <v>12249</v>
      </c>
      <c r="G208" s="70">
        <v>7923</v>
      </c>
      <c r="H208" s="73">
        <f t="shared" si="37"/>
        <v>20172</v>
      </c>
      <c r="I208" s="62">
        <f t="shared" si="38"/>
        <v>70.74274859355593</v>
      </c>
      <c r="J208" s="31">
        <f t="shared" si="39"/>
        <v>0.08333333333333333</v>
      </c>
      <c r="K208" s="31">
        <f t="shared" si="47"/>
        <v>0.15151515151515152</v>
      </c>
      <c r="L208" s="74">
        <f t="shared" si="41"/>
        <v>0.39277215942891136</v>
      </c>
      <c r="M208" s="112">
        <f t="shared" si="42"/>
        <v>2</v>
      </c>
      <c r="N208" s="64">
        <f t="shared" si="48"/>
        <v>9219.256800000008</v>
      </c>
      <c r="O208" s="45">
        <f t="shared" si="43"/>
        <v>8653.788</v>
      </c>
      <c r="P208" s="75">
        <v>22.5</v>
      </c>
      <c r="R208" s="11">
        <v>9462</v>
      </c>
      <c r="S208" s="11">
        <f t="shared" si="49"/>
        <v>11</v>
      </c>
      <c r="T208" s="111">
        <f t="shared" si="46"/>
        <v>11</v>
      </c>
      <c r="U208" s="67">
        <f t="shared" si="50"/>
        <v>24.218623481781375</v>
      </c>
      <c r="V208" s="67">
        <f t="shared" si="51"/>
        <v>1827.501</v>
      </c>
    </row>
    <row r="209" spans="4:22" ht="12">
      <c r="D209" s="81">
        <v>40774</v>
      </c>
      <c r="E209" s="72">
        <f t="shared" si="45"/>
        <v>6867.5</v>
      </c>
      <c r="F209" s="59">
        <v>12250</v>
      </c>
      <c r="G209" s="70">
        <v>7923</v>
      </c>
      <c r="H209" s="73">
        <f t="shared" si="37"/>
        <v>20173</v>
      </c>
      <c r="I209" s="62">
        <f t="shared" si="38"/>
        <v>70.49901710957408</v>
      </c>
      <c r="J209" s="31">
        <f t="shared" si="39"/>
        <v>0.041666666666666664</v>
      </c>
      <c r="K209" s="31">
        <f t="shared" si="47"/>
        <v>0.07575757575757576</v>
      </c>
      <c r="L209" s="74">
        <f t="shared" si="41"/>
        <v>0.39275268923809054</v>
      </c>
      <c r="M209" s="112">
        <f t="shared" si="42"/>
        <v>1</v>
      </c>
      <c r="N209" s="64">
        <f t="shared" si="48"/>
        <v>9219.824900000009</v>
      </c>
      <c r="O209" s="45">
        <f t="shared" si="43"/>
        <v>8654.217</v>
      </c>
      <c r="P209" s="75">
        <v>22.5</v>
      </c>
      <c r="R209" s="11">
        <v>9473</v>
      </c>
      <c r="S209" s="11">
        <f t="shared" si="49"/>
        <v>11</v>
      </c>
      <c r="T209" s="111">
        <f t="shared" si="46"/>
        <v>11</v>
      </c>
      <c r="U209" s="67">
        <f t="shared" si="50"/>
        <v>24.16532258064516</v>
      </c>
      <c r="V209" s="67">
        <f t="shared" si="51"/>
        <v>1830.8615</v>
      </c>
    </row>
    <row r="210" spans="4:22" ht="12">
      <c r="D210" s="81">
        <v>40775</v>
      </c>
      <c r="E210" s="72">
        <f t="shared" si="45"/>
        <v>6891.5</v>
      </c>
      <c r="F210" s="59">
        <v>12251</v>
      </c>
      <c r="G210" s="70">
        <v>7923</v>
      </c>
      <c r="H210" s="73">
        <f t="shared" si="37"/>
        <v>20174</v>
      </c>
      <c r="I210" s="62">
        <f t="shared" si="38"/>
        <v>70.25698324022346</v>
      </c>
      <c r="J210" s="31">
        <f t="shared" si="39"/>
        <v>0.041666666666666664</v>
      </c>
      <c r="K210" s="31">
        <f t="shared" si="47"/>
        <v>0.07575757575757576</v>
      </c>
      <c r="L210" s="74">
        <f t="shared" si="41"/>
        <v>0.3927332209774958</v>
      </c>
      <c r="M210" s="112">
        <f t="shared" si="42"/>
        <v>1</v>
      </c>
      <c r="N210" s="64">
        <f t="shared" si="48"/>
        <v>9220.39300000001</v>
      </c>
      <c r="O210" s="45">
        <f t="shared" si="43"/>
        <v>8654.646</v>
      </c>
      <c r="P210" s="75">
        <v>22.5</v>
      </c>
      <c r="R210" s="11">
        <v>9489</v>
      </c>
      <c r="S210" s="11">
        <f t="shared" si="49"/>
        <v>16</v>
      </c>
      <c r="T210" s="111">
        <f t="shared" si="46"/>
        <v>16</v>
      </c>
      <c r="U210" s="67">
        <f t="shared" si="50"/>
        <v>24.132530120481928</v>
      </c>
      <c r="V210" s="67">
        <f t="shared" si="51"/>
        <v>1835.7495</v>
      </c>
    </row>
    <row r="211" spans="4:22" ht="12">
      <c r="D211" s="81">
        <v>40787</v>
      </c>
      <c r="E211" s="72">
        <f>24*(D211-D210)+E210</f>
        <v>7179.5</v>
      </c>
      <c r="F211" s="59">
        <v>12263</v>
      </c>
      <c r="G211" s="70">
        <v>7930</v>
      </c>
      <c r="H211" s="73">
        <f>SUM(F211:G211)</f>
        <v>20193</v>
      </c>
      <c r="I211" s="62">
        <f>(H211/E211)*24</f>
        <v>67.5021937460826</v>
      </c>
      <c r="J211" s="31">
        <f>(H211-H210)/(E211-E210)</f>
        <v>0.06597222222222222</v>
      </c>
      <c r="K211" s="31">
        <f t="shared" si="47"/>
        <v>0.11994949494949496</v>
      </c>
      <c r="L211" s="74">
        <f>G211/H211</f>
        <v>0.392710345169118</v>
      </c>
      <c r="M211" s="112">
        <f>J211*24</f>
        <v>1.5833333333333335</v>
      </c>
      <c r="N211" s="64">
        <f>N210+((F211-F210)*$K$7+(G211-G210)*$K$8)</f>
        <v>9229.34870000001</v>
      </c>
      <c r="O211" s="45">
        <f>H211*$K$5</f>
        <v>8662.797</v>
      </c>
      <c r="P211" s="75">
        <v>22.3</v>
      </c>
      <c r="R211" s="11">
        <v>9617</v>
      </c>
      <c r="S211" s="11">
        <f t="shared" si="49"/>
        <v>128</v>
      </c>
      <c r="T211" s="111">
        <f t="shared" si="46"/>
        <v>10.666666666666666</v>
      </c>
      <c r="U211" s="67">
        <f>(R211-$R$92)/(D211-$D$92)</f>
        <v>23.513409961685824</v>
      </c>
      <c r="V211" s="67">
        <f>(R211-$R$92)*$K$8</f>
        <v>1874.8535</v>
      </c>
    </row>
    <row r="212" spans="4:22" ht="12">
      <c r="D212" s="68">
        <v>40792</v>
      </c>
      <c r="E212" s="72">
        <f>24*(D212-D211)+E211</f>
        <v>7299.5</v>
      </c>
      <c r="F212" s="59">
        <v>12268</v>
      </c>
      <c r="G212" s="70">
        <v>7932</v>
      </c>
      <c r="H212" s="73">
        <f>SUM(F212:G212)</f>
        <v>20200</v>
      </c>
      <c r="I212" s="62">
        <f>(H212/E212)*24</f>
        <v>66.41550791150078</v>
      </c>
      <c r="J212" s="31">
        <f>(H212-H211)/(E212-E211)</f>
        <v>0.058333333333333334</v>
      </c>
      <c r="K212" s="31">
        <f t="shared" si="47"/>
        <v>0.10606060606060606</v>
      </c>
      <c r="L212" s="74">
        <f>G212/H212</f>
        <v>0.3926732673267327</v>
      </c>
      <c r="M212" s="112">
        <f>J212*24</f>
        <v>1.4</v>
      </c>
      <c r="N212" s="64">
        <f>N211+((F212-F211)*$K$7+(G212-G211)*$K$8)</f>
        <v>9232.800200000009</v>
      </c>
      <c r="O212" s="45">
        <f>H212*$K$5</f>
        <v>8665.800000000001</v>
      </c>
      <c r="P212" s="75">
        <v>22.3</v>
      </c>
      <c r="R212" s="77">
        <v>9668</v>
      </c>
      <c r="S212" s="11">
        <f t="shared" si="49"/>
        <v>51</v>
      </c>
      <c r="T212" s="111">
        <f>S212/(D212-D211)</f>
        <v>10.2</v>
      </c>
      <c r="U212" s="67">
        <f>(R212-$R$92)/(D212-$D$92)</f>
        <v>23.263157894736842</v>
      </c>
      <c r="V212" s="67">
        <f>(R212-$R$92)*$K$8</f>
        <v>1890.434</v>
      </c>
    </row>
    <row r="213" spans="4:22" ht="12">
      <c r="D213" s="81">
        <v>40798</v>
      </c>
      <c r="E213" s="72">
        <f>24*(D213-D212)+E212</f>
        <v>7443.5</v>
      </c>
      <c r="F213" s="59">
        <v>12273</v>
      </c>
      <c r="G213" s="70">
        <v>7935</v>
      </c>
      <c r="H213" s="73">
        <f>SUM(F213:G213)</f>
        <v>20208</v>
      </c>
      <c r="I213" s="62">
        <f>(H213/E213)*24</f>
        <v>65.15644522066232</v>
      </c>
      <c r="J213" s="31">
        <f>(H213-H212)/(E213-E212)</f>
        <v>0.05555555555555555</v>
      </c>
      <c r="K213" s="31">
        <f t="shared" si="47"/>
        <v>0.101010101010101</v>
      </c>
      <c r="L213" s="74">
        <f>G213/H213</f>
        <v>0.39266627078384797</v>
      </c>
      <c r="M213" s="112">
        <f>J213*24</f>
        <v>1.3333333333333333</v>
      </c>
      <c r="N213" s="64">
        <f>N212+((F213-F212)*$K$7+(G213-G212)*$K$8)</f>
        <v>9236.557200000008</v>
      </c>
      <c r="O213" s="45">
        <f>H213*$K$5</f>
        <v>8669.232000000002</v>
      </c>
      <c r="P213" s="75">
        <v>22.3</v>
      </c>
      <c r="R213" s="11">
        <v>9739</v>
      </c>
      <c r="S213" s="11">
        <f t="shared" si="49"/>
        <v>71</v>
      </c>
      <c r="T213" s="111">
        <f>S213/(D213-D212)</f>
        <v>11.833333333333334</v>
      </c>
      <c r="U213" s="67">
        <f>(R213-$R$92)/(D213-$D$92)</f>
        <v>23.011029411764707</v>
      </c>
      <c r="V213" s="67">
        <f>(R213-$R$92)*$K$8</f>
        <v>1912.1245</v>
      </c>
    </row>
    <row r="217" spans="3:7" ht="15">
      <c r="C217" s="132" t="s">
        <v>98</v>
      </c>
      <c r="D217" s="132"/>
      <c r="E217" s="132"/>
      <c r="F217" s="132"/>
      <c r="G217" s="132"/>
    </row>
    <row r="218" spans="3:7" ht="15">
      <c r="C218" s="132"/>
      <c r="D218" s="132"/>
      <c r="E218" s="132"/>
      <c r="F218" s="132"/>
      <c r="G218" s="132"/>
    </row>
    <row r="219" spans="3:7" ht="15">
      <c r="C219" s="132" t="s">
        <v>107</v>
      </c>
      <c r="D219" s="132"/>
      <c r="E219" s="132"/>
      <c r="F219" s="132"/>
      <c r="G219" s="132"/>
    </row>
    <row r="220" spans="3:7" ht="15">
      <c r="C220" s="132" t="s">
        <v>108</v>
      </c>
      <c r="D220" s="132"/>
      <c r="E220" s="132"/>
      <c r="F220" s="132"/>
      <c r="G220" s="132"/>
    </row>
    <row r="221" spans="4:7" ht="15">
      <c r="D221" s="132" t="s">
        <v>113</v>
      </c>
      <c r="E221" s="132"/>
      <c r="F221" s="132"/>
      <c r="G221" s="132"/>
    </row>
    <row r="222" spans="4:7" ht="15">
      <c r="D222" s="132" t="s">
        <v>111</v>
      </c>
      <c r="E222" s="132"/>
      <c r="F222" s="132"/>
      <c r="G222" s="132"/>
    </row>
    <row r="223" spans="4:7" ht="15">
      <c r="D223" s="132" t="s">
        <v>112</v>
      </c>
      <c r="E223" s="132"/>
      <c r="F223" s="132"/>
      <c r="G223" s="132"/>
    </row>
    <row r="224" spans="3:7" ht="15">
      <c r="C224" s="132"/>
      <c r="D224" s="132"/>
      <c r="E224" s="132"/>
      <c r="F224" s="132"/>
      <c r="G224" s="132"/>
    </row>
    <row r="225" spans="3:7" ht="15">
      <c r="C225" s="132" t="s">
        <v>105</v>
      </c>
      <c r="D225" s="132"/>
      <c r="E225" s="132"/>
      <c r="F225" s="132"/>
      <c r="G225" s="132"/>
    </row>
    <row r="226" spans="3:7" ht="15">
      <c r="C226" s="132"/>
      <c r="D226" s="132"/>
      <c r="E226" s="132"/>
      <c r="F226" s="132"/>
      <c r="G226" s="132"/>
    </row>
    <row r="227" spans="3:7" ht="15">
      <c r="C227" s="132" t="s">
        <v>97</v>
      </c>
      <c r="D227" s="132"/>
      <c r="E227" s="132"/>
      <c r="F227" s="132"/>
      <c r="G227" s="132"/>
    </row>
    <row r="228" spans="3:7" ht="15">
      <c r="C228" s="132"/>
      <c r="D228" s="132"/>
      <c r="E228" s="132"/>
      <c r="F228" s="132"/>
      <c r="G228" s="132"/>
    </row>
    <row r="229" spans="3:7" ht="15">
      <c r="C229" s="132" t="s">
        <v>90</v>
      </c>
      <c r="D229" s="132"/>
      <c r="E229" s="132"/>
      <c r="F229" s="132"/>
      <c r="G229" s="132"/>
    </row>
    <row r="230" spans="3:7" ht="15">
      <c r="C230" s="132" t="s">
        <v>92</v>
      </c>
      <c r="D230" s="132"/>
      <c r="E230" s="132"/>
      <c r="F230" s="132"/>
      <c r="G230" s="132"/>
    </row>
    <row r="231" spans="3:7" ht="15">
      <c r="C231" s="132"/>
      <c r="D231" s="132"/>
      <c r="E231" s="132"/>
      <c r="F231" s="132"/>
      <c r="G231" s="132"/>
    </row>
    <row r="232" spans="3:7" ht="15">
      <c r="C232" s="132" t="s">
        <v>99</v>
      </c>
      <c r="D232" s="132"/>
      <c r="E232" s="132"/>
      <c r="F232" s="132"/>
      <c r="G232" s="132"/>
    </row>
    <row r="233" spans="3:7" ht="15">
      <c r="C233" s="132"/>
      <c r="D233" s="132"/>
      <c r="E233" s="132"/>
      <c r="F233" s="132"/>
      <c r="G233" s="132"/>
    </row>
    <row r="234" spans="3:7" ht="15">
      <c r="C234" s="132" t="s">
        <v>103</v>
      </c>
      <c r="D234" s="132"/>
      <c r="E234" s="132"/>
      <c r="F234" s="132"/>
      <c r="G234" s="132"/>
    </row>
    <row r="235" spans="3:7" ht="15">
      <c r="C235" s="132"/>
      <c r="D235" s="132" t="s">
        <v>114</v>
      </c>
      <c r="E235" s="132"/>
      <c r="F235" s="132"/>
      <c r="G235" s="132"/>
    </row>
    <row r="236" spans="3:7" ht="15">
      <c r="C236" s="132"/>
      <c r="D236" s="132"/>
      <c r="E236" s="132"/>
      <c r="F236" s="132"/>
      <c r="G236" s="132"/>
    </row>
    <row r="237" spans="3:7" ht="15">
      <c r="C237" s="132"/>
      <c r="D237" s="132"/>
      <c r="E237" s="132"/>
      <c r="F237" s="132"/>
      <c r="G237" s="132"/>
    </row>
    <row r="238" spans="3:10" ht="15">
      <c r="C238" s="133" t="s">
        <v>91</v>
      </c>
      <c r="D238" s="133"/>
      <c r="E238" s="133"/>
      <c r="F238" s="133"/>
      <c r="G238" s="133"/>
      <c r="H238" s="56"/>
      <c r="I238" s="56"/>
      <c r="J238" s="56"/>
    </row>
    <row r="239" spans="3:10" ht="15">
      <c r="C239" s="133" t="s">
        <v>93</v>
      </c>
      <c r="D239" s="133"/>
      <c r="E239" s="133"/>
      <c r="F239" s="133"/>
      <c r="G239" s="133"/>
      <c r="H239" s="56"/>
      <c r="I239" s="56"/>
      <c r="J239" s="56"/>
    </row>
    <row r="240" spans="3:10" ht="15">
      <c r="C240" s="133" t="s">
        <v>94</v>
      </c>
      <c r="D240" s="133"/>
      <c r="E240" s="133"/>
      <c r="F240" s="133"/>
      <c r="G240" s="133"/>
      <c r="H240" s="56"/>
      <c r="I240" s="56"/>
      <c r="J240" s="56"/>
    </row>
    <row r="241" spans="3:10" ht="15">
      <c r="C241" s="133"/>
      <c r="D241" s="133" t="s">
        <v>104</v>
      </c>
      <c r="E241" s="133"/>
      <c r="F241" s="133"/>
      <c r="G241" s="133"/>
      <c r="H241" s="56"/>
      <c r="I241" s="56"/>
      <c r="J241" s="56"/>
    </row>
    <row r="242" spans="3:10" ht="15">
      <c r="C242" s="133" t="s">
        <v>96</v>
      </c>
      <c r="D242" s="133"/>
      <c r="E242" s="133"/>
      <c r="F242" s="133"/>
      <c r="G242" s="133"/>
      <c r="H242" s="56"/>
      <c r="I242" s="56"/>
      <c r="J242" s="56"/>
    </row>
    <row r="243" spans="3:10" ht="15">
      <c r="C243" s="133" t="s">
        <v>95</v>
      </c>
      <c r="D243" s="133"/>
      <c r="E243" s="133"/>
      <c r="F243" s="133"/>
      <c r="G243" s="133"/>
      <c r="H243" s="56"/>
      <c r="I243" s="56"/>
      <c r="J243" s="56"/>
    </row>
    <row r="244" spans="3:7" ht="15">
      <c r="C244" s="132"/>
      <c r="D244" s="132"/>
      <c r="E244" s="132"/>
      <c r="F244" s="132"/>
      <c r="G244" s="132"/>
    </row>
    <row r="245" spans="3:7" ht="15">
      <c r="C245" s="132"/>
      <c r="D245" s="132"/>
      <c r="E245" s="132"/>
      <c r="F245" s="132"/>
      <c r="G245" s="132"/>
    </row>
    <row r="246" spans="3:7" ht="15">
      <c r="C246" s="132"/>
      <c r="D246" s="132"/>
      <c r="E246" s="132"/>
      <c r="F246" s="132"/>
      <c r="G246" s="132"/>
    </row>
    <row r="247" spans="3:7" ht="15">
      <c r="C247" s="132"/>
      <c r="D247" s="132"/>
      <c r="E247" s="132"/>
      <c r="F247" s="132"/>
      <c r="G247" s="132"/>
    </row>
    <row r="248" spans="3:7" ht="15">
      <c r="C248" s="132"/>
      <c r="D248" s="132"/>
      <c r="E248" s="132"/>
      <c r="F248" s="132"/>
      <c r="G248" s="132"/>
    </row>
    <row r="249" spans="3:7" ht="15">
      <c r="C249" s="132"/>
      <c r="D249" s="132"/>
      <c r="E249" s="132"/>
      <c r="F249" s="132"/>
      <c r="G249" s="132"/>
    </row>
    <row r="250" spans="3:7" ht="15">
      <c r="C250" s="132"/>
      <c r="D250" s="132"/>
      <c r="E250" s="132"/>
      <c r="F250" s="132"/>
      <c r="G250" s="132"/>
    </row>
    <row r="251" spans="3:7" ht="15">
      <c r="C251" s="132"/>
      <c r="D251" s="132"/>
      <c r="E251" s="132"/>
      <c r="F251" s="132"/>
      <c r="G251" s="132"/>
    </row>
    <row r="252" spans="3:7" ht="15">
      <c r="C252" s="132"/>
      <c r="D252" s="132"/>
      <c r="E252" s="132"/>
      <c r="F252" s="132"/>
      <c r="G252" s="132"/>
    </row>
    <row r="253" spans="3:7" ht="15">
      <c r="C253" s="132"/>
      <c r="D253" s="132"/>
      <c r="E253" s="132"/>
      <c r="F253" s="132"/>
      <c r="G253" s="132"/>
    </row>
    <row r="254" spans="3:7" ht="15">
      <c r="C254" s="132"/>
      <c r="D254" s="132"/>
      <c r="E254" s="132"/>
      <c r="F254" s="132"/>
      <c r="G254" s="132"/>
    </row>
    <row r="255" spans="3:7" ht="15">
      <c r="C255" s="132"/>
      <c r="D255" s="132"/>
      <c r="E255" s="132"/>
      <c r="F255" s="132"/>
      <c r="G255" s="132"/>
    </row>
  </sheetData>
  <sheetProtection/>
  <mergeCells count="4">
    <mergeCell ref="A48:C48"/>
    <mergeCell ref="A60:C60"/>
    <mergeCell ref="A191:C191"/>
    <mergeCell ref="A174:C175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witek ww</dc:creator>
  <cp:keywords/>
  <dc:description/>
  <cp:lastModifiedBy>witold</cp:lastModifiedBy>
  <dcterms:created xsi:type="dcterms:W3CDTF">2011-08-06T07:57:32Z</dcterms:created>
  <dcterms:modified xsi:type="dcterms:W3CDTF">2011-09-15T06:42:53Z</dcterms:modified>
  <cp:category/>
  <cp:version/>
  <cp:contentType/>
  <cp:contentStatus/>
</cp:coreProperties>
</file>